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1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22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23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julie\Desktop\"/>
    </mc:Choice>
  </mc:AlternateContent>
  <xr:revisionPtr revIDLastSave="0" documentId="13_ncr:1_{DFA4EA3E-735F-4891-9A51-F819A28970A8}" xr6:coauthVersionLast="47" xr6:coauthVersionMax="47" xr10:uidLastSave="{00000000-0000-0000-0000-000000000000}"/>
  <bookViews>
    <workbookView xWindow="-110" yWindow="-110" windowWidth="19420" windowHeight="10300" tabRatio="768" firstSheet="22" activeTab="27" xr2:uid="{00000000-000D-0000-FFFF-FFFF00000000}"/>
  </bookViews>
  <sheets>
    <sheet name="Haby_Sall" sheetId="54" r:id="rId1"/>
    <sheet name="Orane_Vivant" sheetId="53" r:id="rId2"/>
    <sheet name="Léa_Gary" sheetId="52" r:id="rId3"/>
    <sheet name="Laura-Lyne_Lombindo" sheetId="51" r:id="rId4"/>
    <sheet name="Ingrid_Ngongang" sheetId="50" r:id="rId5"/>
    <sheet name="Phellys_Kibuey" sheetId="49" r:id="rId6"/>
    <sheet name="Kimberley_Rutil" sheetId="48" r:id="rId7"/>
    <sheet name="Syriane_Adon" sheetId="47" r:id="rId8"/>
    <sheet name="Naémi_Ardouin" sheetId="46" r:id="rId9"/>
    <sheet name="Mathilde_Mélique" sheetId="45" r:id="rId10"/>
    <sheet name="Maelys_Kouaya" sheetId="44" r:id="rId11"/>
    <sheet name="Maelle_Chalmandrier" sheetId="43" r:id="rId12"/>
    <sheet name="Léa Ballureau" sheetId="42" r:id="rId13"/>
    <sheet name="Julie_Sias" sheetId="41" r:id="rId14"/>
    <sheet name="Inès_Godet" sheetId="40" r:id="rId15"/>
    <sheet name="Hana_Kvasova" sheetId="39" r:id="rId16"/>
    <sheet name="Camille_Tourigny" sheetId="38" r:id="rId17"/>
    <sheet name="Alix_Tignon" sheetId="37" r:id="rId18"/>
    <sheet name="Justicia_Toubissa" sheetId="36" r:id="rId19"/>
    <sheet name="Données brutes" sheetId="1" r:id="rId20"/>
    <sheet name="Stats générales" sheetId="2" r:id="rId21"/>
    <sheet name="Image Stats générales" sheetId="33" r:id="rId22"/>
    <sheet name="Matchs joués" sheetId="30" r:id="rId23"/>
    <sheet name="Temps de jeu" sheetId="31" r:id="rId24"/>
    <sheet name="Efficacité par enclenchement" sheetId="21" r:id="rId25"/>
    <sheet name="Analyse GB" sheetId="22" r:id="rId26"/>
    <sheet name="Duel tireur GB joueuse" sheetId="24" r:id="rId27"/>
    <sheet name="L'activité défensive" sheetId="25" r:id="rId28"/>
    <sheet name="Les pertes de balle" sheetId="26" r:id="rId29"/>
    <sheet name="Les passes D la création et 7m " sheetId="29" r:id="rId30"/>
  </sheets>
  <externalReferences>
    <externalReference r:id="rId31"/>
  </externalReferences>
  <definedNames>
    <definedName name="AL_et_EXT" localSheetId="17">'[1]Analyse GB'!#REF!</definedName>
    <definedName name="AL_et_EXT" localSheetId="16">'[1]Analyse GB'!#REF!</definedName>
    <definedName name="AL_et_EXT" localSheetId="0">'[1]Analyse GB'!#REF!</definedName>
    <definedName name="AL_et_EXT" localSheetId="15">'[1]Analyse GB'!#REF!</definedName>
    <definedName name="AL_et_EXT" localSheetId="14">'[1]Analyse GB'!#REF!</definedName>
    <definedName name="AL_et_EXT" localSheetId="4">'[1]Analyse GB'!#REF!</definedName>
    <definedName name="AL_et_EXT" localSheetId="13">'[1]Analyse GB'!#REF!</definedName>
    <definedName name="AL_et_EXT" localSheetId="18">'[1]Analyse GB'!#REF!</definedName>
    <definedName name="AL_et_EXT" localSheetId="6">'[1]Analyse GB'!#REF!</definedName>
    <definedName name="AL_et_EXT" localSheetId="3">'[1]Analyse GB'!#REF!</definedName>
    <definedName name="AL_et_EXT" localSheetId="12">'[1]Analyse GB'!#REF!</definedName>
    <definedName name="AL_et_EXT" localSheetId="2">'[1]Analyse GB'!#REF!</definedName>
    <definedName name="AL_et_EXT" localSheetId="11">'[1]Analyse GB'!#REF!</definedName>
    <definedName name="AL_et_EXT" localSheetId="10">'[1]Analyse GB'!#REF!</definedName>
    <definedName name="AL_et_EXT" localSheetId="9">'[1]Analyse GB'!#REF!</definedName>
    <definedName name="AL_et_EXT" localSheetId="8">'[1]Analyse GB'!#REF!</definedName>
    <definedName name="AL_et_EXT" localSheetId="1">'[1]Analyse GB'!#REF!</definedName>
    <definedName name="AL_et_EXT" localSheetId="5">'[1]Analyse GB'!#REF!</definedName>
    <definedName name="AL_et_EXT" localSheetId="7">'[1]Analyse GB'!#REF!</definedName>
    <definedName name="AL_et_EXT">'Analyse GB'!#REF!</definedName>
    <definedName name="CA_MB" localSheetId="17">'[1]Analyse GB'!#REF!</definedName>
    <definedName name="CA_MB" localSheetId="16">'[1]Analyse GB'!#REF!</definedName>
    <definedName name="CA_MB" localSheetId="0">'[1]Analyse GB'!#REF!</definedName>
    <definedName name="CA_MB" localSheetId="15">'[1]Analyse GB'!#REF!</definedName>
    <definedName name="CA_MB" localSheetId="14">'[1]Analyse GB'!#REF!</definedName>
    <definedName name="CA_MB" localSheetId="4">'[1]Analyse GB'!#REF!</definedName>
    <definedName name="CA_MB" localSheetId="13">'[1]Analyse GB'!#REF!</definedName>
    <definedName name="CA_MB" localSheetId="18">'[1]Analyse GB'!#REF!</definedName>
    <definedName name="CA_MB" localSheetId="6">'[1]Analyse GB'!#REF!</definedName>
    <definedName name="CA_MB" localSheetId="3">'[1]Analyse GB'!#REF!</definedName>
    <definedName name="CA_MB" localSheetId="12">'[1]Analyse GB'!#REF!</definedName>
    <definedName name="CA_MB" localSheetId="2">'[1]Analyse GB'!#REF!</definedName>
    <definedName name="CA_MB" localSheetId="11">'[1]Analyse GB'!#REF!</definedName>
    <definedName name="CA_MB" localSheetId="10">'[1]Analyse GB'!#REF!</definedName>
    <definedName name="CA_MB" localSheetId="9">'[1]Analyse GB'!#REF!</definedName>
    <definedName name="CA_MB" localSheetId="8">'[1]Analyse GB'!#REF!</definedName>
    <definedName name="CA_MB" localSheetId="1">'[1]Analyse GB'!#REF!</definedName>
    <definedName name="CA_MB" localSheetId="5">'[1]Analyse GB'!#REF!</definedName>
    <definedName name="CA_MB" localSheetId="7">'[1]Analyse GB'!#REF!</definedName>
    <definedName name="CA_MB">'Analyse GB'!#REF!</definedName>
    <definedName name="De_loin" localSheetId="17">'[1]Analyse GB'!#REF!</definedName>
    <definedName name="De_loin" localSheetId="16">'[1]Analyse GB'!#REF!</definedName>
    <definedName name="De_loin" localSheetId="0">'[1]Analyse GB'!#REF!</definedName>
    <definedName name="De_loin" localSheetId="15">'[1]Analyse GB'!#REF!</definedName>
    <definedName name="De_loin" localSheetId="14">'[1]Analyse GB'!#REF!</definedName>
    <definedName name="De_loin" localSheetId="4">'[1]Analyse GB'!#REF!</definedName>
    <definedName name="De_loin" localSheetId="13">'[1]Analyse GB'!#REF!</definedName>
    <definedName name="De_loin" localSheetId="18">'[1]Analyse GB'!#REF!</definedName>
    <definedName name="De_loin" localSheetId="6">'[1]Analyse GB'!#REF!</definedName>
    <definedName name="De_loin" localSheetId="3">'[1]Analyse GB'!#REF!</definedName>
    <definedName name="De_loin" localSheetId="12">'[1]Analyse GB'!#REF!</definedName>
    <definedName name="De_loin" localSheetId="2">'[1]Analyse GB'!#REF!</definedName>
    <definedName name="De_loin" localSheetId="11">'[1]Analyse GB'!#REF!</definedName>
    <definedName name="De_loin" localSheetId="10">'[1]Analyse GB'!#REF!</definedName>
    <definedName name="De_loin" localSheetId="9">'[1]Analyse GB'!#REF!</definedName>
    <definedName name="De_loin" localSheetId="8">'[1]Analyse GB'!#REF!</definedName>
    <definedName name="De_loin" localSheetId="1">'[1]Analyse GB'!#REF!</definedName>
    <definedName name="De_loin" localSheetId="5">'[1]Analyse GB'!#REF!</definedName>
    <definedName name="De_loin" localSheetId="7">'[1]Analyse GB'!#REF!</definedName>
    <definedName name="De_loin">'Analyse GB'!#REF!</definedName>
    <definedName name="Diorobo_Sacko" localSheetId="17">'[1]Analyse GB'!#REF!</definedName>
    <definedName name="Diorobo_Sacko" localSheetId="16">'[1]Analyse GB'!#REF!</definedName>
    <definedName name="Diorobo_Sacko" localSheetId="0">'[1]Analyse GB'!#REF!</definedName>
    <definedName name="Diorobo_Sacko" localSheetId="15">'[1]Analyse GB'!#REF!</definedName>
    <definedName name="Diorobo_Sacko" localSheetId="14">'[1]Analyse GB'!#REF!</definedName>
    <definedName name="Diorobo_Sacko" localSheetId="4">'[1]Analyse GB'!#REF!</definedName>
    <definedName name="Diorobo_Sacko" localSheetId="13">'[1]Analyse GB'!#REF!</definedName>
    <definedName name="Diorobo_Sacko" localSheetId="18">'[1]Analyse GB'!#REF!</definedName>
    <definedName name="Diorobo_Sacko" localSheetId="6">'[1]Analyse GB'!#REF!</definedName>
    <definedName name="Diorobo_Sacko" localSheetId="3">'[1]Analyse GB'!#REF!</definedName>
    <definedName name="Diorobo_Sacko" localSheetId="12">'[1]Analyse GB'!#REF!</definedName>
    <definedName name="Diorobo_Sacko" localSheetId="2">'[1]Analyse GB'!#REF!</definedName>
    <definedName name="Diorobo_Sacko" localSheetId="11">'[1]Analyse GB'!#REF!</definedName>
    <definedName name="Diorobo_Sacko" localSheetId="10">'[1]Analyse GB'!#REF!</definedName>
    <definedName name="Diorobo_Sacko" localSheetId="9">'[1]Analyse GB'!#REF!</definedName>
    <definedName name="Diorobo_Sacko" localSheetId="8">'[1]Analyse GB'!#REF!</definedName>
    <definedName name="Diorobo_Sacko" localSheetId="1">'[1]Analyse GB'!#REF!</definedName>
    <definedName name="Diorobo_Sacko" localSheetId="5">'[1]Analyse GB'!#REF!</definedName>
    <definedName name="Diorobo_Sacko" localSheetId="7">'[1]Analyse GB'!#REF!</definedName>
    <definedName name="Diorobo_Sacko">'Analyse GB'!#REF!</definedName>
    <definedName name="GB" localSheetId="17">'[1]Analyse GB'!#REF!</definedName>
    <definedName name="GB" localSheetId="16">'[1]Analyse GB'!#REF!</definedName>
    <definedName name="GB" localSheetId="0">'[1]Analyse GB'!#REF!</definedName>
    <definedName name="GB" localSheetId="15">'[1]Analyse GB'!#REF!</definedName>
    <definedName name="GB" localSheetId="14">'[1]Analyse GB'!#REF!</definedName>
    <definedName name="GB" localSheetId="4">'[1]Analyse GB'!#REF!</definedName>
    <definedName name="GB" localSheetId="13">'[1]Analyse GB'!#REF!</definedName>
    <definedName name="GB" localSheetId="18">'[1]Analyse GB'!#REF!</definedName>
    <definedName name="GB" localSheetId="6">'[1]Analyse GB'!#REF!</definedName>
    <definedName name="GB" localSheetId="3">'[1]Analyse GB'!#REF!</definedName>
    <definedName name="GB" localSheetId="12">'[1]Analyse GB'!#REF!</definedName>
    <definedName name="GB" localSheetId="2">'[1]Analyse GB'!#REF!</definedName>
    <definedName name="GB" localSheetId="11">'[1]Analyse GB'!#REF!</definedName>
    <definedName name="GB" localSheetId="10">'[1]Analyse GB'!#REF!</definedName>
    <definedName name="GB" localSheetId="9">'[1]Analyse GB'!#REF!</definedName>
    <definedName name="GB" localSheetId="8">'[1]Analyse GB'!#REF!</definedName>
    <definedName name="GB" localSheetId="1">'[1]Analyse GB'!#REF!</definedName>
    <definedName name="GB" localSheetId="5">'[1]Analyse GB'!#REF!</definedName>
    <definedName name="GB" localSheetId="7">'[1]Analyse GB'!#REF!</definedName>
    <definedName name="GB">'Analyse GB'!#REF!</definedName>
    <definedName name="Mi_distance" localSheetId="17">'[1]Analyse GB'!#REF!</definedName>
    <definedName name="Mi_distance" localSheetId="16">'[1]Analyse GB'!#REF!</definedName>
    <definedName name="Mi_distance" localSheetId="0">'[1]Analyse GB'!#REF!</definedName>
    <definedName name="Mi_distance" localSheetId="15">'[1]Analyse GB'!#REF!</definedName>
    <definedName name="Mi_distance" localSheetId="14">'[1]Analyse GB'!#REF!</definedName>
    <definedName name="Mi_distance" localSheetId="4">'[1]Analyse GB'!#REF!</definedName>
    <definedName name="Mi_distance" localSheetId="13">'[1]Analyse GB'!#REF!</definedName>
    <definedName name="Mi_distance" localSheetId="18">'[1]Analyse GB'!#REF!</definedName>
    <definedName name="Mi_distance" localSheetId="6">'[1]Analyse GB'!#REF!</definedName>
    <definedName name="Mi_distance" localSheetId="3">'[1]Analyse GB'!#REF!</definedName>
    <definedName name="Mi_distance" localSheetId="12">'[1]Analyse GB'!#REF!</definedName>
    <definedName name="Mi_distance" localSheetId="2">'[1]Analyse GB'!#REF!</definedName>
    <definedName name="Mi_distance" localSheetId="11">'[1]Analyse GB'!#REF!</definedName>
    <definedName name="Mi_distance" localSheetId="10">'[1]Analyse GB'!#REF!</definedName>
    <definedName name="Mi_distance" localSheetId="9">'[1]Analyse GB'!#REF!</definedName>
    <definedName name="Mi_distance" localSheetId="8">'[1]Analyse GB'!#REF!</definedName>
    <definedName name="Mi_distance" localSheetId="1">'[1]Analyse GB'!#REF!</definedName>
    <definedName name="Mi_distance" localSheetId="5">'[1]Analyse GB'!#REF!</definedName>
    <definedName name="Mi_distance" localSheetId="7">'[1]Analyse GB'!#REF!</definedName>
    <definedName name="Mi_distance">'Analyse GB'!#REF!</definedName>
    <definedName name="Secteurs" localSheetId="17">'[1]Analyse GB'!#REF!</definedName>
    <definedName name="Secteurs" localSheetId="16">'[1]Analyse GB'!#REF!</definedName>
    <definedName name="Secteurs" localSheetId="0">'[1]Analyse GB'!#REF!</definedName>
    <definedName name="Secteurs" localSheetId="15">'[1]Analyse GB'!#REF!</definedName>
    <definedName name="Secteurs" localSheetId="14">'[1]Analyse GB'!#REF!</definedName>
    <definedName name="Secteurs" localSheetId="4">'[1]Analyse GB'!#REF!</definedName>
    <definedName name="Secteurs" localSheetId="13">'[1]Analyse GB'!#REF!</definedName>
    <definedName name="Secteurs" localSheetId="18">'[1]Analyse GB'!#REF!</definedName>
    <definedName name="Secteurs" localSheetId="6">'[1]Analyse GB'!#REF!</definedName>
    <definedName name="Secteurs" localSheetId="3">'[1]Analyse GB'!#REF!</definedName>
    <definedName name="Secteurs" localSheetId="12">'[1]Analyse GB'!#REF!</definedName>
    <definedName name="Secteurs" localSheetId="2">'[1]Analyse GB'!#REF!</definedName>
    <definedName name="Secteurs" localSheetId="11">'[1]Analyse GB'!#REF!</definedName>
    <definedName name="Secteurs" localSheetId="10">'[1]Analyse GB'!#REF!</definedName>
    <definedName name="Secteurs" localSheetId="9">'[1]Analyse GB'!#REF!</definedName>
    <definedName name="Secteurs" localSheetId="8">'[1]Analyse GB'!#REF!</definedName>
    <definedName name="Secteurs" localSheetId="1">'[1]Analyse GB'!#REF!</definedName>
    <definedName name="Secteurs" localSheetId="5">'[1]Analyse GB'!#REF!</definedName>
    <definedName name="Secteurs" localSheetId="7">'[1]Analyse GB'!#REF!</definedName>
    <definedName name="Secteurs">'Analyse GB'!#REF!</definedName>
    <definedName name="TOTAL_champ" localSheetId="17">'[1]Analyse GB'!#REF!</definedName>
    <definedName name="TOTAL_champ" localSheetId="16">'[1]Analyse GB'!#REF!</definedName>
    <definedName name="TOTAL_champ" localSheetId="0">'[1]Analyse GB'!#REF!</definedName>
    <definedName name="TOTAL_champ" localSheetId="15">'[1]Analyse GB'!#REF!</definedName>
    <definedName name="TOTAL_champ" localSheetId="14">'[1]Analyse GB'!#REF!</definedName>
    <definedName name="TOTAL_champ" localSheetId="4">'[1]Analyse GB'!#REF!</definedName>
    <definedName name="TOTAL_champ" localSheetId="13">'[1]Analyse GB'!#REF!</definedName>
    <definedName name="TOTAL_champ" localSheetId="18">'[1]Analyse GB'!#REF!</definedName>
    <definedName name="TOTAL_champ" localSheetId="6">'[1]Analyse GB'!#REF!</definedName>
    <definedName name="TOTAL_champ" localSheetId="3">'[1]Analyse GB'!#REF!</definedName>
    <definedName name="TOTAL_champ" localSheetId="12">'[1]Analyse GB'!#REF!</definedName>
    <definedName name="TOTAL_champ" localSheetId="2">'[1]Analyse GB'!#REF!</definedName>
    <definedName name="TOTAL_champ" localSheetId="11">'[1]Analyse GB'!#REF!</definedName>
    <definedName name="TOTAL_champ" localSheetId="10">'[1]Analyse GB'!#REF!</definedName>
    <definedName name="TOTAL_champ" localSheetId="9">'[1]Analyse GB'!#REF!</definedName>
    <definedName name="TOTAL_champ" localSheetId="8">'[1]Analyse GB'!#REF!</definedName>
    <definedName name="TOTAL_champ" localSheetId="1">'[1]Analyse GB'!#REF!</definedName>
    <definedName name="TOTAL_champ" localSheetId="5">'[1]Analyse GB'!#REF!</definedName>
    <definedName name="TOTAL_champ" localSheetId="7">'[1]Analyse GB'!#REF!</definedName>
    <definedName name="TOTAL_champ">'Analyse GB'!#REF!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3" i="24" l="1"/>
  <c r="D21" i="31"/>
  <c r="E21" i="31"/>
  <c r="F21" i="31"/>
  <c r="D21" i="30"/>
  <c r="E21" i="30"/>
  <c r="F21" i="30"/>
  <c r="B4" i="31" l="1"/>
  <c r="B5" i="31"/>
  <c r="B6" i="31"/>
  <c r="E7" i="26" s="1"/>
  <c r="B7" i="31"/>
  <c r="E8" i="26" s="1"/>
  <c r="B8" i="31"/>
  <c r="E9" i="26" s="1"/>
  <c r="B9" i="31"/>
  <c r="E10" i="26" s="1"/>
  <c r="B10" i="31"/>
  <c r="B11" i="31"/>
  <c r="B12" i="31"/>
  <c r="B13" i="31"/>
  <c r="B14" i="31"/>
  <c r="E15" i="26" s="1"/>
  <c r="B15" i="31"/>
  <c r="E16" i="26" s="1"/>
  <c r="B16" i="31"/>
  <c r="E17" i="26" s="1"/>
  <c r="B17" i="31"/>
  <c r="E18" i="26" s="1"/>
  <c r="B18" i="31"/>
  <c r="B19" i="31"/>
  <c r="B18" i="30"/>
  <c r="R19" i="54"/>
  <c r="R19" i="53"/>
  <c r="R19" i="52"/>
  <c r="R56" i="51"/>
  <c r="R55" i="51"/>
  <c r="R54" i="51"/>
  <c r="R53" i="51"/>
  <c r="R52" i="51"/>
  <c r="R51" i="51"/>
  <c r="R50" i="51"/>
  <c r="R49" i="51"/>
  <c r="R48" i="51"/>
  <c r="R47" i="51"/>
  <c r="R46" i="51"/>
  <c r="R45" i="51"/>
  <c r="R44" i="51"/>
  <c r="R43" i="51"/>
  <c r="R42" i="51"/>
  <c r="R37" i="51"/>
  <c r="R36" i="51"/>
  <c r="R35" i="51"/>
  <c r="R34" i="51"/>
  <c r="R33" i="51"/>
  <c r="R32" i="51"/>
  <c r="R31" i="51"/>
  <c r="R30" i="51"/>
  <c r="R29" i="51"/>
  <c r="R28" i="51"/>
  <c r="R27" i="51"/>
  <c r="R26" i="51"/>
  <c r="R25" i="51"/>
  <c r="R24" i="51"/>
  <c r="R23" i="51"/>
  <c r="R18" i="51"/>
  <c r="R17" i="51"/>
  <c r="R16" i="51"/>
  <c r="R15" i="51"/>
  <c r="R14" i="51"/>
  <c r="R13" i="51"/>
  <c r="R12" i="51"/>
  <c r="R11" i="51"/>
  <c r="R10" i="51"/>
  <c r="R9" i="51"/>
  <c r="R8" i="51"/>
  <c r="R7" i="51"/>
  <c r="R6" i="51"/>
  <c r="R5" i="51"/>
  <c r="R4" i="51"/>
  <c r="R56" i="50"/>
  <c r="R55" i="50"/>
  <c r="R54" i="50"/>
  <c r="R53" i="50"/>
  <c r="R52" i="50"/>
  <c r="R51" i="50"/>
  <c r="R50" i="50"/>
  <c r="R49" i="50"/>
  <c r="R48" i="50"/>
  <c r="R47" i="50"/>
  <c r="R46" i="50"/>
  <c r="R45" i="50"/>
  <c r="R44" i="50"/>
  <c r="R43" i="50"/>
  <c r="R42" i="50"/>
  <c r="R37" i="50"/>
  <c r="R36" i="50"/>
  <c r="R35" i="50"/>
  <c r="R34" i="50"/>
  <c r="R33" i="50"/>
  <c r="R32" i="50"/>
  <c r="R31" i="50"/>
  <c r="R30" i="50"/>
  <c r="R29" i="50"/>
  <c r="R28" i="50"/>
  <c r="R27" i="50"/>
  <c r="R26" i="50"/>
  <c r="R25" i="50"/>
  <c r="R24" i="50"/>
  <c r="R23" i="50"/>
  <c r="R18" i="50"/>
  <c r="R17" i="50"/>
  <c r="R16" i="50"/>
  <c r="R15" i="50"/>
  <c r="R14" i="50"/>
  <c r="R13" i="50"/>
  <c r="R12" i="50"/>
  <c r="R11" i="50"/>
  <c r="R10" i="50"/>
  <c r="R9" i="50"/>
  <c r="R8" i="50"/>
  <c r="R7" i="50"/>
  <c r="R6" i="50"/>
  <c r="R5" i="50"/>
  <c r="R4" i="50"/>
  <c r="R56" i="49"/>
  <c r="R55" i="49"/>
  <c r="R54" i="49"/>
  <c r="R53" i="49"/>
  <c r="R52" i="49"/>
  <c r="R51" i="49"/>
  <c r="R50" i="49"/>
  <c r="R49" i="49"/>
  <c r="R48" i="49"/>
  <c r="R47" i="49"/>
  <c r="R46" i="49"/>
  <c r="R45" i="49"/>
  <c r="R44" i="49"/>
  <c r="R43" i="49"/>
  <c r="R42" i="49"/>
  <c r="R37" i="49"/>
  <c r="R36" i="49"/>
  <c r="R35" i="49"/>
  <c r="R34" i="49"/>
  <c r="R33" i="49"/>
  <c r="R32" i="49"/>
  <c r="R31" i="49"/>
  <c r="R30" i="49"/>
  <c r="R29" i="49"/>
  <c r="R28" i="49"/>
  <c r="R27" i="49"/>
  <c r="R26" i="49"/>
  <c r="R25" i="49"/>
  <c r="R24" i="49"/>
  <c r="R23" i="49"/>
  <c r="R18" i="49"/>
  <c r="R17" i="49"/>
  <c r="R16" i="49"/>
  <c r="R15" i="49"/>
  <c r="R14" i="49"/>
  <c r="R13" i="49"/>
  <c r="R12" i="49"/>
  <c r="R11" i="49"/>
  <c r="R10" i="49"/>
  <c r="R9" i="49"/>
  <c r="R8" i="49"/>
  <c r="R7" i="49"/>
  <c r="R6" i="49"/>
  <c r="R5" i="49"/>
  <c r="R4" i="49"/>
  <c r="R56" i="48"/>
  <c r="R55" i="48"/>
  <c r="R54" i="48"/>
  <c r="R53" i="48"/>
  <c r="R52" i="48"/>
  <c r="R51" i="48"/>
  <c r="R50" i="48"/>
  <c r="R49" i="48"/>
  <c r="R48" i="48"/>
  <c r="R47" i="48"/>
  <c r="R46" i="48"/>
  <c r="R45" i="48"/>
  <c r="R44" i="48"/>
  <c r="R43" i="48"/>
  <c r="R42" i="48"/>
  <c r="R37" i="48"/>
  <c r="R36" i="48"/>
  <c r="R35" i="48"/>
  <c r="R34" i="48"/>
  <c r="R33" i="48"/>
  <c r="R32" i="48"/>
  <c r="R31" i="48"/>
  <c r="R30" i="48"/>
  <c r="R29" i="48"/>
  <c r="R28" i="48"/>
  <c r="R27" i="48"/>
  <c r="R26" i="48"/>
  <c r="R25" i="48"/>
  <c r="R24" i="48"/>
  <c r="R23" i="48"/>
  <c r="R18" i="48"/>
  <c r="R17" i="48"/>
  <c r="R16" i="48"/>
  <c r="R15" i="48"/>
  <c r="R14" i="48"/>
  <c r="R13" i="48"/>
  <c r="R12" i="48"/>
  <c r="R11" i="48"/>
  <c r="R10" i="48"/>
  <c r="R9" i="48"/>
  <c r="R8" i="48"/>
  <c r="R7" i="48"/>
  <c r="R6" i="48"/>
  <c r="R5" i="48"/>
  <c r="R4" i="48"/>
  <c r="R56" i="47"/>
  <c r="R55" i="47"/>
  <c r="R54" i="47"/>
  <c r="R53" i="47"/>
  <c r="R52" i="47"/>
  <c r="R51" i="47"/>
  <c r="R50" i="47"/>
  <c r="R49" i="47"/>
  <c r="R48" i="47"/>
  <c r="R47" i="47"/>
  <c r="R46" i="47"/>
  <c r="R45" i="47"/>
  <c r="R44" i="47"/>
  <c r="R43" i="47"/>
  <c r="R42" i="47"/>
  <c r="R37" i="47"/>
  <c r="R36" i="47"/>
  <c r="R35" i="47"/>
  <c r="R34" i="47"/>
  <c r="R33" i="47"/>
  <c r="R32" i="47"/>
  <c r="R31" i="47"/>
  <c r="R30" i="47"/>
  <c r="R29" i="47"/>
  <c r="R28" i="47"/>
  <c r="R27" i="47"/>
  <c r="R26" i="47"/>
  <c r="R25" i="47"/>
  <c r="R24" i="47"/>
  <c r="R23" i="47"/>
  <c r="R18" i="47"/>
  <c r="R17" i="47"/>
  <c r="R16" i="47"/>
  <c r="R15" i="47"/>
  <c r="R14" i="47"/>
  <c r="R13" i="47"/>
  <c r="R12" i="47"/>
  <c r="R11" i="47"/>
  <c r="R10" i="47"/>
  <c r="R9" i="47"/>
  <c r="R8" i="47"/>
  <c r="R7" i="47"/>
  <c r="R6" i="47"/>
  <c r="R5" i="47"/>
  <c r="R4" i="47"/>
  <c r="R56" i="46"/>
  <c r="R55" i="46"/>
  <c r="R54" i="46"/>
  <c r="R53" i="46"/>
  <c r="R52" i="46"/>
  <c r="R51" i="46"/>
  <c r="R50" i="46"/>
  <c r="R49" i="46"/>
  <c r="R48" i="46"/>
  <c r="R47" i="46"/>
  <c r="R46" i="46"/>
  <c r="R45" i="46"/>
  <c r="R44" i="46"/>
  <c r="R43" i="46"/>
  <c r="R42" i="46"/>
  <c r="R37" i="46"/>
  <c r="R36" i="46"/>
  <c r="R35" i="46"/>
  <c r="R34" i="46"/>
  <c r="R33" i="46"/>
  <c r="R32" i="46"/>
  <c r="R31" i="46"/>
  <c r="R30" i="46"/>
  <c r="R29" i="46"/>
  <c r="R28" i="46"/>
  <c r="R27" i="46"/>
  <c r="R26" i="46"/>
  <c r="R25" i="46"/>
  <c r="R24" i="46"/>
  <c r="R23" i="46"/>
  <c r="R18" i="46"/>
  <c r="R17" i="46"/>
  <c r="R16" i="46"/>
  <c r="R15" i="46"/>
  <c r="R14" i="46"/>
  <c r="R13" i="46"/>
  <c r="R12" i="46"/>
  <c r="R11" i="46"/>
  <c r="R10" i="46"/>
  <c r="R9" i="46"/>
  <c r="R8" i="46"/>
  <c r="R7" i="46"/>
  <c r="R6" i="46"/>
  <c r="R5" i="46"/>
  <c r="R4" i="46"/>
  <c r="R56" i="45"/>
  <c r="R55" i="45"/>
  <c r="R54" i="45"/>
  <c r="R53" i="45"/>
  <c r="R52" i="45"/>
  <c r="R51" i="45"/>
  <c r="R50" i="45"/>
  <c r="R49" i="45"/>
  <c r="R48" i="45"/>
  <c r="R47" i="45"/>
  <c r="R46" i="45"/>
  <c r="R45" i="45"/>
  <c r="R44" i="45"/>
  <c r="R43" i="45"/>
  <c r="R42" i="45"/>
  <c r="R37" i="45"/>
  <c r="R36" i="45"/>
  <c r="R35" i="45"/>
  <c r="R34" i="45"/>
  <c r="R33" i="45"/>
  <c r="R32" i="45"/>
  <c r="R31" i="45"/>
  <c r="R30" i="45"/>
  <c r="R29" i="45"/>
  <c r="R28" i="45"/>
  <c r="R27" i="45"/>
  <c r="R26" i="45"/>
  <c r="R25" i="45"/>
  <c r="R24" i="45"/>
  <c r="R23" i="45"/>
  <c r="R18" i="45"/>
  <c r="R17" i="45"/>
  <c r="R16" i="45"/>
  <c r="R15" i="45"/>
  <c r="R14" i="45"/>
  <c r="R13" i="45"/>
  <c r="R12" i="45"/>
  <c r="R11" i="45"/>
  <c r="R10" i="45"/>
  <c r="R9" i="45"/>
  <c r="R8" i="45"/>
  <c r="R7" i="45"/>
  <c r="R6" i="45"/>
  <c r="R5" i="45"/>
  <c r="R4" i="45"/>
  <c r="R56" i="44"/>
  <c r="R55" i="44"/>
  <c r="R54" i="44"/>
  <c r="R53" i="44"/>
  <c r="R52" i="44"/>
  <c r="R51" i="44"/>
  <c r="R50" i="44"/>
  <c r="R49" i="44"/>
  <c r="R48" i="44"/>
  <c r="R47" i="44"/>
  <c r="R46" i="44"/>
  <c r="R45" i="44"/>
  <c r="R44" i="44"/>
  <c r="R43" i="44"/>
  <c r="R42" i="44"/>
  <c r="R37" i="44"/>
  <c r="R36" i="44"/>
  <c r="R35" i="44"/>
  <c r="R34" i="44"/>
  <c r="R33" i="44"/>
  <c r="R32" i="44"/>
  <c r="R31" i="44"/>
  <c r="R30" i="44"/>
  <c r="R29" i="44"/>
  <c r="R28" i="44"/>
  <c r="R27" i="44"/>
  <c r="R26" i="44"/>
  <c r="R25" i="44"/>
  <c r="R24" i="44"/>
  <c r="R23" i="44"/>
  <c r="R18" i="44"/>
  <c r="R17" i="44"/>
  <c r="R16" i="44"/>
  <c r="R15" i="44"/>
  <c r="R14" i="44"/>
  <c r="R13" i="44"/>
  <c r="R12" i="44"/>
  <c r="R11" i="44"/>
  <c r="R10" i="44"/>
  <c r="R9" i="44"/>
  <c r="R8" i="44"/>
  <c r="R7" i="44"/>
  <c r="R6" i="44"/>
  <c r="R5" i="44"/>
  <c r="R4" i="44"/>
  <c r="R56" i="43"/>
  <c r="R55" i="43"/>
  <c r="R54" i="43"/>
  <c r="R53" i="43"/>
  <c r="R52" i="43"/>
  <c r="R51" i="43"/>
  <c r="R50" i="43"/>
  <c r="R49" i="43"/>
  <c r="R48" i="43"/>
  <c r="R47" i="43"/>
  <c r="R46" i="43"/>
  <c r="R45" i="43"/>
  <c r="R44" i="43"/>
  <c r="R43" i="43"/>
  <c r="R42" i="43"/>
  <c r="R37" i="43"/>
  <c r="R36" i="43"/>
  <c r="R35" i="43"/>
  <c r="R34" i="43"/>
  <c r="R33" i="43"/>
  <c r="R32" i="43"/>
  <c r="R31" i="43"/>
  <c r="R30" i="43"/>
  <c r="R29" i="43"/>
  <c r="R28" i="43"/>
  <c r="R27" i="43"/>
  <c r="R26" i="43"/>
  <c r="R25" i="43"/>
  <c r="R24" i="43"/>
  <c r="R23" i="43"/>
  <c r="R18" i="43"/>
  <c r="R17" i="43"/>
  <c r="R16" i="43"/>
  <c r="R15" i="43"/>
  <c r="R14" i="43"/>
  <c r="R13" i="43"/>
  <c r="R12" i="43"/>
  <c r="R11" i="43"/>
  <c r="R10" i="43"/>
  <c r="R9" i="43"/>
  <c r="R8" i="43"/>
  <c r="R7" i="43"/>
  <c r="R6" i="43"/>
  <c r="R5" i="43"/>
  <c r="R4" i="43"/>
  <c r="R56" i="42"/>
  <c r="R55" i="42"/>
  <c r="R54" i="42"/>
  <c r="R53" i="42"/>
  <c r="R52" i="42"/>
  <c r="R51" i="42"/>
  <c r="R50" i="42"/>
  <c r="R49" i="42"/>
  <c r="R48" i="42"/>
  <c r="R47" i="42"/>
  <c r="R46" i="42"/>
  <c r="R45" i="42"/>
  <c r="R44" i="42"/>
  <c r="R43" i="42"/>
  <c r="R42" i="42"/>
  <c r="R37" i="42"/>
  <c r="R36" i="42"/>
  <c r="R35" i="42"/>
  <c r="R34" i="42"/>
  <c r="R33" i="42"/>
  <c r="R32" i="42"/>
  <c r="R31" i="42"/>
  <c r="R30" i="42"/>
  <c r="R29" i="42"/>
  <c r="R28" i="42"/>
  <c r="R27" i="42"/>
  <c r="R26" i="42"/>
  <c r="R25" i="42"/>
  <c r="R24" i="42"/>
  <c r="R23" i="42"/>
  <c r="R18" i="42"/>
  <c r="R17" i="42"/>
  <c r="R16" i="42"/>
  <c r="R15" i="42"/>
  <c r="R14" i="42"/>
  <c r="R13" i="42"/>
  <c r="R12" i="42"/>
  <c r="R11" i="42"/>
  <c r="R10" i="42"/>
  <c r="R9" i="42"/>
  <c r="R8" i="42"/>
  <c r="R7" i="42"/>
  <c r="R6" i="42"/>
  <c r="R5" i="42"/>
  <c r="R4" i="42"/>
  <c r="R56" i="41"/>
  <c r="R55" i="41"/>
  <c r="R54" i="41"/>
  <c r="R53" i="41"/>
  <c r="R52" i="41"/>
  <c r="R51" i="41"/>
  <c r="R50" i="41"/>
  <c r="R49" i="41"/>
  <c r="R48" i="41"/>
  <c r="R47" i="41"/>
  <c r="R46" i="41"/>
  <c r="R45" i="41"/>
  <c r="R44" i="41"/>
  <c r="R43" i="41"/>
  <c r="R42" i="41"/>
  <c r="R37" i="41"/>
  <c r="R36" i="41"/>
  <c r="R35" i="41"/>
  <c r="R34" i="41"/>
  <c r="R33" i="41"/>
  <c r="R32" i="41"/>
  <c r="R31" i="41"/>
  <c r="R30" i="41"/>
  <c r="R29" i="41"/>
  <c r="R28" i="41"/>
  <c r="R27" i="41"/>
  <c r="R26" i="41"/>
  <c r="R25" i="41"/>
  <c r="R24" i="41"/>
  <c r="R23" i="41"/>
  <c r="R18" i="41"/>
  <c r="R17" i="41"/>
  <c r="R16" i="41"/>
  <c r="R15" i="41"/>
  <c r="R14" i="41"/>
  <c r="R13" i="41"/>
  <c r="R12" i="41"/>
  <c r="R11" i="41"/>
  <c r="R10" i="41"/>
  <c r="R9" i="41"/>
  <c r="R8" i="41"/>
  <c r="R7" i="41"/>
  <c r="R6" i="41"/>
  <c r="R5" i="41"/>
  <c r="R4" i="41"/>
  <c r="R56" i="40"/>
  <c r="R55" i="40"/>
  <c r="R54" i="40"/>
  <c r="R53" i="40"/>
  <c r="R52" i="40"/>
  <c r="R51" i="40"/>
  <c r="R50" i="40"/>
  <c r="R49" i="40"/>
  <c r="R48" i="40"/>
  <c r="R47" i="40"/>
  <c r="R46" i="40"/>
  <c r="R45" i="40"/>
  <c r="R44" i="40"/>
  <c r="R43" i="40"/>
  <c r="R42" i="40"/>
  <c r="R37" i="40"/>
  <c r="R36" i="40"/>
  <c r="R35" i="40"/>
  <c r="R34" i="40"/>
  <c r="R33" i="40"/>
  <c r="R32" i="40"/>
  <c r="R31" i="40"/>
  <c r="R30" i="40"/>
  <c r="R29" i="40"/>
  <c r="R28" i="40"/>
  <c r="R27" i="40"/>
  <c r="R26" i="40"/>
  <c r="R25" i="40"/>
  <c r="R24" i="40"/>
  <c r="R23" i="40"/>
  <c r="R38" i="40" s="1"/>
  <c r="R18" i="40"/>
  <c r="R17" i="40"/>
  <c r="R16" i="40"/>
  <c r="R15" i="40"/>
  <c r="R14" i="40"/>
  <c r="R13" i="40"/>
  <c r="R12" i="40"/>
  <c r="R11" i="40"/>
  <c r="R10" i="40"/>
  <c r="R9" i="40"/>
  <c r="R8" i="40"/>
  <c r="R7" i="40"/>
  <c r="R6" i="40"/>
  <c r="R5" i="40"/>
  <c r="R4" i="40"/>
  <c r="R56" i="39"/>
  <c r="R55" i="39"/>
  <c r="R54" i="39"/>
  <c r="R53" i="39"/>
  <c r="R52" i="39"/>
  <c r="R51" i="39"/>
  <c r="R50" i="39"/>
  <c r="R49" i="39"/>
  <c r="R48" i="39"/>
  <c r="R47" i="39"/>
  <c r="R46" i="39"/>
  <c r="R45" i="39"/>
  <c r="R44" i="39"/>
  <c r="R43" i="39"/>
  <c r="R42" i="39"/>
  <c r="R37" i="39"/>
  <c r="R36" i="39"/>
  <c r="R35" i="39"/>
  <c r="R34" i="39"/>
  <c r="R33" i="39"/>
  <c r="R32" i="39"/>
  <c r="R31" i="39"/>
  <c r="R30" i="39"/>
  <c r="R29" i="39"/>
  <c r="R28" i="39"/>
  <c r="R27" i="39"/>
  <c r="R26" i="39"/>
  <c r="R25" i="39"/>
  <c r="R24" i="39"/>
  <c r="R23" i="39"/>
  <c r="R38" i="39" s="1"/>
  <c r="R18" i="39"/>
  <c r="R17" i="39"/>
  <c r="R16" i="39"/>
  <c r="R15" i="39"/>
  <c r="R14" i="39"/>
  <c r="R13" i="39"/>
  <c r="R12" i="39"/>
  <c r="R11" i="39"/>
  <c r="R10" i="39"/>
  <c r="R9" i="39"/>
  <c r="R8" i="39"/>
  <c r="R7" i="39"/>
  <c r="R6" i="39"/>
  <c r="R5" i="39"/>
  <c r="R4" i="39"/>
  <c r="R56" i="38"/>
  <c r="R55" i="38"/>
  <c r="R54" i="38"/>
  <c r="R53" i="38"/>
  <c r="R52" i="38"/>
  <c r="R51" i="38"/>
  <c r="R50" i="38"/>
  <c r="R49" i="38"/>
  <c r="R48" i="38"/>
  <c r="R47" i="38"/>
  <c r="R46" i="38"/>
  <c r="R45" i="38"/>
  <c r="R44" i="38"/>
  <c r="R43" i="38"/>
  <c r="R42" i="38"/>
  <c r="R37" i="38"/>
  <c r="R36" i="38"/>
  <c r="R35" i="38"/>
  <c r="R34" i="38"/>
  <c r="R33" i="38"/>
  <c r="R32" i="38"/>
  <c r="R31" i="38"/>
  <c r="R30" i="38"/>
  <c r="R29" i="38"/>
  <c r="R28" i="38"/>
  <c r="R27" i="38"/>
  <c r="R26" i="38"/>
  <c r="R25" i="38"/>
  <c r="R24" i="38"/>
  <c r="R23" i="38"/>
  <c r="R18" i="38"/>
  <c r="R17" i="38"/>
  <c r="R16" i="38"/>
  <c r="R15" i="38"/>
  <c r="R14" i="38"/>
  <c r="R13" i="38"/>
  <c r="R12" i="38"/>
  <c r="R11" i="38"/>
  <c r="R10" i="38"/>
  <c r="R9" i="38"/>
  <c r="R8" i="38"/>
  <c r="R7" i="38"/>
  <c r="R6" i="38"/>
  <c r="R5" i="38"/>
  <c r="R4" i="38"/>
  <c r="R4" i="37"/>
  <c r="R5" i="37"/>
  <c r="R6" i="37"/>
  <c r="R7" i="37"/>
  <c r="R8" i="37"/>
  <c r="R9" i="37"/>
  <c r="R10" i="37"/>
  <c r="R11" i="37"/>
  <c r="R12" i="37"/>
  <c r="R13" i="37"/>
  <c r="R14" i="37"/>
  <c r="R15" i="37"/>
  <c r="R16" i="37"/>
  <c r="R17" i="37"/>
  <c r="R18" i="37"/>
  <c r="R23" i="37"/>
  <c r="R24" i="37"/>
  <c r="R25" i="37"/>
  <c r="R26" i="37"/>
  <c r="R27" i="37"/>
  <c r="R28" i="37"/>
  <c r="R29" i="37"/>
  <c r="R30" i="37"/>
  <c r="R31" i="37"/>
  <c r="R32" i="37"/>
  <c r="R33" i="37"/>
  <c r="R34" i="37"/>
  <c r="R35" i="37"/>
  <c r="R36" i="37"/>
  <c r="R37" i="37"/>
  <c r="R42" i="37"/>
  <c r="R43" i="37"/>
  <c r="R44" i="37"/>
  <c r="R45" i="37"/>
  <c r="R46" i="37"/>
  <c r="R47" i="37"/>
  <c r="R48" i="37"/>
  <c r="R49" i="37"/>
  <c r="R50" i="37"/>
  <c r="R51" i="37"/>
  <c r="R52" i="37"/>
  <c r="R53" i="37"/>
  <c r="R54" i="37"/>
  <c r="R55" i="37"/>
  <c r="R56" i="37"/>
  <c r="R56" i="36"/>
  <c r="R55" i="36"/>
  <c r="R54" i="36"/>
  <c r="R53" i="36"/>
  <c r="R52" i="36"/>
  <c r="R51" i="36"/>
  <c r="R50" i="36"/>
  <c r="R49" i="36"/>
  <c r="R48" i="36"/>
  <c r="R47" i="36"/>
  <c r="R46" i="36"/>
  <c r="R45" i="36"/>
  <c r="R44" i="36"/>
  <c r="R43" i="36"/>
  <c r="R42" i="36"/>
  <c r="R37" i="36"/>
  <c r="R36" i="36"/>
  <c r="R35" i="36"/>
  <c r="R34" i="36"/>
  <c r="R33" i="36"/>
  <c r="R32" i="36"/>
  <c r="R31" i="36"/>
  <c r="R30" i="36"/>
  <c r="R29" i="36"/>
  <c r="R28" i="36"/>
  <c r="R27" i="36"/>
  <c r="R26" i="36"/>
  <c r="R25" i="36"/>
  <c r="R24" i="36"/>
  <c r="R23" i="36"/>
  <c r="R18" i="36"/>
  <c r="R17" i="36"/>
  <c r="R16" i="36"/>
  <c r="R15" i="36"/>
  <c r="R14" i="36"/>
  <c r="R13" i="36"/>
  <c r="R12" i="36"/>
  <c r="R11" i="36"/>
  <c r="R10" i="36"/>
  <c r="R9" i="36"/>
  <c r="R8" i="36"/>
  <c r="R7" i="36"/>
  <c r="R6" i="36"/>
  <c r="R5" i="36"/>
  <c r="R4" i="36"/>
  <c r="H23" i="21"/>
  <c r="H24" i="21"/>
  <c r="H25" i="21"/>
  <c r="H22" i="21"/>
  <c r="H18" i="21"/>
  <c r="H17" i="21"/>
  <c r="H16" i="21"/>
  <c r="H15" i="21"/>
  <c r="H14" i="21"/>
  <c r="H13" i="21"/>
  <c r="H12" i="21"/>
  <c r="H11" i="21"/>
  <c r="H10" i="21"/>
  <c r="H9" i="21"/>
  <c r="H8" i="21"/>
  <c r="H7" i="21"/>
  <c r="H6" i="21"/>
  <c r="H5" i="21"/>
  <c r="F344" i="24"/>
  <c r="F342" i="24"/>
  <c r="F341" i="24"/>
  <c r="F340" i="24"/>
  <c r="F339" i="24"/>
  <c r="F338" i="24"/>
  <c r="F337" i="24"/>
  <c r="F336" i="24"/>
  <c r="F335" i="24"/>
  <c r="F334" i="24"/>
  <c r="F333" i="24"/>
  <c r="F332" i="24"/>
  <c r="F331" i="24"/>
  <c r="F330" i="24"/>
  <c r="F329" i="24"/>
  <c r="F328" i="24"/>
  <c r="F327" i="24"/>
  <c r="F326" i="24"/>
  <c r="F325" i="24"/>
  <c r="F319" i="24"/>
  <c r="F317" i="24"/>
  <c r="F316" i="24"/>
  <c r="F315" i="24"/>
  <c r="F314" i="24"/>
  <c r="F313" i="24"/>
  <c r="F312" i="24"/>
  <c r="F311" i="24"/>
  <c r="F310" i="24"/>
  <c r="F309" i="24"/>
  <c r="F308" i="24"/>
  <c r="F307" i="24"/>
  <c r="F306" i="24"/>
  <c r="F305" i="24"/>
  <c r="F304" i="24"/>
  <c r="F303" i="24"/>
  <c r="F302" i="24"/>
  <c r="F301" i="24"/>
  <c r="F300" i="24"/>
  <c r="F294" i="24"/>
  <c r="F292" i="24"/>
  <c r="F291" i="24"/>
  <c r="F290" i="24"/>
  <c r="F289" i="24"/>
  <c r="F288" i="24"/>
  <c r="F287" i="24"/>
  <c r="F286" i="24"/>
  <c r="F285" i="24"/>
  <c r="F284" i="24"/>
  <c r="F283" i="24"/>
  <c r="F282" i="24"/>
  <c r="F281" i="24"/>
  <c r="F280" i="24"/>
  <c r="F279" i="24"/>
  <c r="F278" i="24"/>
  <c r="F277" i="24"/>
  <c r="F276" i="24"/>
  <c r="F275" i="24"/>
  <c r="F269" i="24"/>
  <c r="F267" i="24"/>
  <c r="F266" i="24"/>
  <c r="F265" i="24"/>
  <c r="F264" i="24"/>
  <c r="F263" i="24"/>
  <c r="F262" i="24"/>
  <c r="F261" i="24"/>
  <c r="F260" i="24"/>
  <c r="F259" i="24"/>
  <c r="F258" i="24"/>
  <c r="F257" i="24"/>
  <c r="F256" i="24"/>
  <c r="F255" i="24"/>
  <c r="F254" i="24"/>
  <c r="F253" i="24"/>
  <c r="F252" i="24"/>
  <c r="F251" i="24"/>
  <c r="F250" i="24"/>
  <c r="F245" i="24"/>
  <c r="F243" i="24"/>
  <c r="F242" i="24"/>
  <c r="F241" i="24"/>
  <c r="F240" i="24"/>
  <c r="F239" i="24"/>
  <c r="F238" i="24"/>
  <c r="F237" i="24"/>
  <c r="F236" i="24"/>
  <c r="F235" i="24"/>
  <c r="F234" i="24"/>
  <c r="F233" i="24"/>
  <c r="F232" i="24"/>
  <c r="F231" i="24"/>
  <c r="F230" i="24"/>
  <c r="F229" i="24"/>
  <c r="F228" i="24"/>
  <c r="F227" i="24"/>
  <c r="F226" i="24"/>
  <c r="F220" i="24"/>
  <c r="F218" i="24"/>
  <c r="F217" i="24"/>
  <c r="F216" i="24"/>
  <c r="F215" i="24"/>
  <c r="F214" i="24"/>
  <c r="F213" i="24"/>
  <c r="F212" i="24"/>
  <c r="F211" i="24"/>
  <c r="F210" i="24"/>
  <c r="F209" i="24"/>
  <c r="F208" i="24"/>
  <c r="F207" i="24"/>
  <c r="F206" i="24"/>
  <c r="F205" i="24"/>
  <c r="F204" i="24"/>
  <c r="F203" i="24"/>
  <c r="F202" i="24"/>
  <c r="F201" i="24"/>
  <c r="F195" i="24"/>
  <c r="F193" i="24"/>
  <c r="F192" i="24"/>
  <c r="F191" i="24"/>
  <c r="F190" i="24"/>
  <c r="F189" i="24"/>
  <c r="F188" i="24"/>
  <c r="F187" i="24"/>
  <c r="F186" i="24"/>
  <c r="F185" i="24"/>
  <c r="F184" i="24"/>
  <c r="F183" i="24"/>
  <c r="F182" i="24"/>
  <c r="F181" i="24"/>
  <c r="F180" i="24"/>
  <c r="F179" i="24"/>
  <c r="F178" i="24"/>
  <c r="F177" i="24"/>
  <c r="F176" i="24"/>
  <c r="F170" i="24"/>
  <c r="F168" i="24"/>
  <c r="F167" i="24"/>
  <c r="F166" i="24"/>
  <c r="F165" i="24"/>
  <c r="F164" i="24"/>
  <c r="F163" i="24"/>
  <c r="F162" i="24"/>
  <c r="F161" i="24"/>
  <c r="F160" i="24"/>
  <c r="F159" i="24"/>
  <c r="F158" i="24"/>
  <c r="F157" i="24"/>
  <c r="F156" i="24"/>
  <c r="F155" i="24"/>
  <c r="F154" i="24"/>
  <c r="F153" i="24"/>
  <c r="F152" i="24"/>
  <c r="F151" i="24"/>
  <c r="F145" i="24"/>
  <c r="F143" i="24"/>
  <c r="F142" i="24"/>
  <c r="F141" i="24"/>
  <c r="F140" i="24"/>
  <c r="F139" i="24"/>
  <c r="F138" i="24"/>
  <c r="F137" i="24"/>
  <c r="F136" i="24"/>
  <c r="F135" i="24"/>
  <c r="F134" i="24"/>
  <c r="F133" i="24"/>
  <c r="F132" i="24"/>
  <c r="F131" i="24"/>
  <c r="F130" i="24"/>
  <c r="F129" i="24"/>
  <c r="F128" i="24"/>
  <c r="F127" i="24"/>
  <c r="F126" i="24"/>
  <c r="F120" i="24"/>
  <c r="F118" i="24"/>
  <c r="F117" i="24"/>
  <c r="F116" i="24"/>
  <c r="F115" i="24"/>
  <c r="F114" i="24"/>
  <c r="F113" i="24"/>
  <c r="F112" i="24"/>
  <c r="F111" i="24"/>
  <c r="F110" i="24"/>
  <c r="F109" i="24"/>
  <c r="F108" i="24"/>
  <c r="F107" i="24"/>
  <c r="F106" i="24"/>
  <c r="F105" i="24"/>
  <c r="F104" i="24"/>
  <c r="F103" i="24"/>
  <c r="F102" i="24"/>
  <c r="F101" i="24"/>
  <c r="F95" i="24"/>
  <c r="F93" i="24"/>
  <c r="F92" i="24"/>
  <c r="F91" i="24"/>
  <c r="F90" i="24"/>
  <c r="F89" i="24"/>
  <c r="F88" i="24"/>
  <c r="F87" i="24"/>
  <c r="F86" i="24"/>
  <c r="F85" i="24"/>
  <c r="F84" i="24"/>
  <c r="F83" i="24"/>
  <c r="F82" i="24"/>
  <c r="F81" i="24"/>
  <c r="F80" i="24"/>
  <c r="F79" i="24"/>
  <c r="F78" i="24"/>
  <c r="F77" i="24"/>
  <c r="F76" i="24"/>
  <c r="F70" i="24"/>
  <c r="F68" i="24"/>
  <c r="F67" i="24"/>
  <c r="F66" i="24"/>
  <c r="F65" i="24"/>
  <c r="F64" i="24"/>
  <c r="F63" i="24"/>
  <c r="F62" i="24"/>
  <c r="F61" i="24"/>
  <c r="F60" i="24"/>
  <c r="F59" i="24"/>
  <c r="F58" i="24"/>
  <c r="F57" i="24"/>
  <c r="F56" i="24"/>
  <c r="F55" i="24"/>
  <c r="F54" i="24"/>
  <c r="F53" i="24"/>
  <c r="F52" i="24"/>
  <c r="F51" i="24"/>
  <c r="F46" i="24"/>
  <c r="F44" i="24"/>
  <c r="F43" i="24"/>
  <c r="F42" i="24"/>
  <c r="F41" i="24"/>
  <c r="F40" i="24"/>
  <c r="F39" i="24"/>
  <c r="F38" i="24"/>
  <c r="F37" i="24"/>
  <c r="F36" i="24"/>
  <c r="F35" i="24"/>
  <c r="F34" i="24"/>
  <c r="F33" i="24"/>
  <c r="F32" i="24"/>
  <c r="F31" i="24"/>
  <c r="F30" i="24"/>
  <c r="F29" i="24"/>
  <c r="F28" i="24"/>
  <c r="F27" i="24"/>
  <c r="F22" i="24"/>
  <c r="F20" i="24"/>
  <c r="F19" i="24"/>
  <c r="F18" i="24"/>
  <c r="F17" i="24"/>
  <c r="F16" i="24"/>
  <c r="F15" i="24"/>
  <c r="F14" i="24"/>
  <c r="F13" i="24"/>
  <c r="F12" i="24"/>
  <c r="F11" i="24"/>
  <c r="F10" i="24"/>
  <c r="F9" i="24"/>
  <c r="F8" i="24"/>
  <c r="F7" i="24"/>
  <c r="F6" i="24"/>
  <c r="F5" i="24"/>
  <c r="F4" i="24"/>
  <c r="I33" i="2"/>
  <c r="I32" i="2"/>
  <c r="I31" i="2"/>
  <c r="I28" i="2"/>
  <c r="I27" i="2"/>
  <c r="I30" i="2"/>
  <c r="I26" i="2"/>
  <c r="I23" i="2"/>
  <c r="I22" i="2"/>
  <c r="I21" i="2"/>
  <c r="I20" i="2"/>
  <c r="H17" i="2"/>
  <c r="H16" i="2"/>
  <c r="H15" i="2"/>
  <c r="H14" i="2"/>
  <c r="H11" i="2"/>
  <c r="H10" i="2"/>
  <c r="H9" i="2"/>
  <c r="T20" i="26"/>
  <c r="S20" i="26"/>
  <c r="R20" i="26"/>
  <c r="Q20" i="26"/>
  <c r="P20" i="26"/>
  <c r="O20" i="26"/>
  <c r="N20" i="26"/>
  <c r="M20" i="26"/>
  <c r="L20" i="26"/>
  <c r="K20" i="26"/>
  <c r="J20" i="26"/>
  <c r="I20" i="26"/>
  <c r="H20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H15" i="26"/>
  <c r="O20" i="29"/>
  <c r="M20" i="29"/>
  <c r="L20" i="29"/>
  <c r="K20" i="29"/>
  <c r="J20" i="29"/>
  <c r="I20" i="29"/>
  <c r="H20" i="29"/>
  <c r="G20" i="29"/>
  <c r="F20" i="29"/>
  <c r="E20" i="29"/>
  <c r="O19" i="29"/>
  <c r="M19" i="29"/>
  <c r="L19" i="29"/>
  <c r="K19" i="29"/>
  <c r="J19" i="29"/>
  <c r="I19" i="29"/>
  <c r="H19" i="29"/>
  <c r="G19" i="29"/>
  <c r="F19" i="29"/>
  <c r="E19" i="29"/>
  <c r="O9" i="29"/>
  <c r="M9" i="29"/>
  <c r="L9" i="29"/>
  <c r="K9" i="29"/>
  <c r="J9" i="29"/>
  <c r="I9" i="29"/>
  <c r="H9" i="29"/>
  <c r="G9" i="29"/>
  <c r="F9" i="29"/>
  <c r="E9" i="29"/>
  <c r="O5" i="29"/>
  <c r="M5" i="29"/>
  <c r="L5" i="29"/>
  <c r="K5" i="29"/>
  <c r="J5" i="29"/>
  <c r="I5" i="29"/>
  <c r="H5" i="29"/>
  <c r="G5" i="29"/>
  <c r="F5" i="29"/>
  <c r="E5" i="29"/>
  <c r="O6" i="29"/>
  <c r="M6" i="29"/>
  <c r="L6" i="29"/>
  <c r="K6" i="29"/>
  <c r="J6" i="29"/>
  <c r="I6" i="29"/>
  <c r="H6" i="29"/>
  <c r="G6" i="29"/>
  <c r="F6" i="29"/>
  <c r="E6" i="29"/>
  <c r="O13" i="29"/>
  <c r="M13" i="29"/>
  <c r="L13" i="29"/>
  <c r="K13" i="29"/>
  <c r="J13" i="29"/>
  <c r="I13" i="29"/>
  <c r="H13" i="29"/>
  <c r="G13" i="29"/>
  <c r="F13" i="29"/>
  <c r="E13" i="29"/>
  <c r="H8" i="2"/>
  <c r="I5" i="21"/>
  <c r="I6" i="21"/>
  <c r="I7" i="21"/>
  <c r="I8" i="21"/>
  <c r="I9" i="21"/>
  <c r="I10" i="21"/>
  <c r="I11" i="21"/>
  <c r="I12" i="21"/>
  <c r="I13" i="21"/>
  <c r="I14" i="21"/>
  <c r="I15" i="21"/>
  <c r="I16" i="21"/>
  <c r="I17" i="21"/>
  <c r="I18" i="21"/>
  <c r="I4" i="21"/>
  <c r="H4" i="21"/>
  <c r="T6" i="26"/>
  <c r="S6" i="26"/>
  <c r="R6" i="26"/>
  <c r="Q6" i="26"/>
  <c r="P6" i="26"/>
  <c r="O6" i="26"/>
  <c r="N6" i="26"/>
  <c r="M6" i="26"/>
  <c r="L6" i="26"/>
  <c r="K6" i="26"/>
  <c r="J6" i="26"/>
  <c r="I6" i="26"/>
  <c r="H6" i="26"/>
  <c r="T9" i="26"/>
  <c r="S9" i="26"/>
  <c r="R9" i="26"/>
  <c r="Q9" i="26"/>
  <c r="P9" i="26"/>
  <c r="O9" i="26"/>
  <c r="N9" i="26"/>
  <c r="M9" i="26"/>
  <c r="L9" i="26"/>
  <c r="K9" i="26"/>
  <c r="J9" i="26"/>
  <c r="I9" i="26"/>
  <c r="H9" i="26"/>
  <c r="T19" i="26"/>
  <c r="S19" i="26"/>
  <c r="R19" i="26"/>
  <c r="Q19" i="26"/>
  <c r="P19" i="26"/>
  <c r="O19" i="26"/>
  <c r="N19" i="26"/>
  <c r="M19" i="26"/>
  <c r="L19" i="26"/>
  <c r="K19" i="26"/>
  <c r="J19" i="26"/>
  <c r="I19" i="26"/>
  <c r="H19" i="26"/>
  <c r="T13" i="26"/>
  <c r="S13" i="26"/>
  <c r="R13" i="26"/>
  <c r="Q13" i="26"/>
  <c r="P13" i="26"/>
  <c r="O13" i="26"/>
  <c r="N13" i="26"/>
  <c r="M13" i="26"/>
  <c r="L13" i="26"/>
  <c r="K13" i="26"/>
  <c r="J13" i="26"/>
  <c r="I13" i="26"/>
  <c r="H13" i="26"/>
  <c r="F74" i="22"/>
  <c r="E74" i="22"/>
  <c r="D74" i="22"/>
  <c r="C74" i="22"/>
  <c r="F72" i="22"/>
  <c r="E72" i="22"/>
  <c r="D72" i="22"/>
  <c r="C72" i="22"/>
  <c r="F71" i="22"/>
  <c r="E71" i="22"/>
  <c r="D71" i="22"/>
  <c r="C71" i="22"/>
  <c r="F70" i="22"/>
  <c r="E70" i="22"/>
  <c r="D70" i="22"/>
  <c r="C70" i="22"/>
  <c r="F69" i="22"/>
  <c r="E69" i="22"/>
  <c r="D69" i="22"/>
  <c r="C69" i="22"/>
  <c r="F68" i="22"/>
  <c r="E68" i="22"/>
  <c r="D68" i="22"/>
  <c r="C68" i="22"/>
  <c r="F67" i="22"/>
  <c r="E67" i="22"/>
  <c r="D67" i="22"/>
  <c r="C67" i="22"/>
  <c r="F66" i="22"/>
  <c r="E66" i="22"/>
  <c r="D66" i="22"/>
  <c r="C66" i="22"/>
  <c r="F65" i="22"/>
  <c r="E65" i="22"/>
  <c r="D65" i="22"/>
  <c r="C65" i="22"/>
  <c r="F64" i="22"/>
  <c r="E64" i="22"/>
  <c r="D64" i="22"/>
  <c r="C64" i="22"/>
  <c r="F63" i="22"/>
  <c r="E63" i="22"/>
  <c r="D63" i="22"/>
  <c r="C63" i="22"/>
  <c r="F62" i="22"/>
  <c r="E62" i="22"/>
  <c r="D62" i="22"/>
  <c r="C62" i="22"/>
  <c r="F61" i="22"/>
  <c r="E61" i="22"/>
  <c r="D61" i="22"/>
  <c r="C61" i="22"/>
  <c r="F60" i="22"/>
  <c r="E60" i="22"/>
  <c r="D60" i="22"/>
  <c r="C60" i="22"/>
  <c r="F59" i="22"/>
  <c r="E59" i="22"/>
  <c r="D59" i="22"/>
  <c r="C59" i="22"/>
  <c r="F58" i="22"/>
  <c r="E58" i="22"/>
  <c r="D58" i="22"/>
  <c r="C58" i="22"/>
  <c r="F57" i="22"/>
  <c r="E57" i="22"/>
  <c r="D57" i="22"/>
  <c r="C57" i="22"/>
  <c r="F56" i="22"/>
  <c r="E56" i="22"/>
  <c r="D56" i="22"/>
  <c r="C56" i="22"/>
  <c r="F55" i="22"/>
  <c r="E55" i="22"/>
  <c r="D55" i="22"/>
  <c r="C55" i="22"/>
  <c r="G4" i="21"/>
  <c r="T5" i="26"/>
  <c r="S5" i="26"/>
  <c r="R5" i="26"/>
  <c r="Q5" i="26"/>
  <c r="P5" i="26"/>
  <c r="O5" i="26"/>
  <c r="N5" i="26"/>
  <c r="M5" i="26"/>
  <c r="L5" i="26"/>
  <c r="K5" i="26"/>
  <c r="J5" i="26"/>
  <c r="I5" i="26"/>
  <c r="H5" i="26"/>
  <c r="AA16" i="25"/>
  <c r="Z16" i="25"/>
  <c r="Y16" i="25"/>
  <c r="X16" i="25"/>
  <c r="W16" i="25"/>
  <c r="V16" i="25"/>
  <c r="U16" i="25"/>
  <c r="T16" i="25"/>
  <c r="S16" i="25"/>
  <c r="R16" i="25"/>
  <c r="Q16" i="25"/>
  <c r="P16" i="25"/>
  <c r="N16" i="25"/>
  <c r="M16" i="25"/>
  <c r="L16" i="25"/>
  <c r="K16" i="25"/>
  <c r="J16" i="25"/>
  <c r="I16" i="25"/>
  <c r="H16" i="25"/>
  <c r="G16" i="25"/>
  <c r="F16" i="25"/>
  <c r="E16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N14" i="25"/>
  <c r="M14" i="25"/>
  <c r="L14" i="25"/>
  <c r="K14" i="25"/>
  <c r="J14" i="25"/>
  <c r="I14" i="25"/>
  <c r="H14" i="25"/>
  <c r="G14" i="25"/>
  <c r="F14" i="25"/>
  <c r="E14" i="25"/>
  <c r="AA9" i="25"/>
  <c r="Z9" i="25"/>
  <c r="Y9" i="25"/>
  <c r="X9" i="25"/>
  <c r="W9" i="25"/>
  <c r="V9" i="25"/>
  <c r="U9" i="25"/>
  <c r="T9" i="25"/>
  <c r="S9" i="25"/>
  <c r="R9" i="25"/>
  <c r="Q9" i="25"/>
  <c r="P9" i="25"/>
  <c r="N9" i="25"/>
  <c r="M9" i="25"/>
  <c r="L9" i="25"/>
  <c r="K9" i="25"/>
  <c r="J9" i="25"/>
  <c r="I9" i="25"/>
  <c r="H9" i="25"/>
  <c r="G9" i="25"/>
  <c r="F9" i="25"/>
  <c r="E9" i="25"/>
  <c r="AA3" i="25"/>
  <c r="Z3" i="25"/>
  <c r="Y3" i="25"/>
  <c r="X3" i="25"/>
  <c r="W3" i="25"/>
  <c r="V3" i="25"/>
  <c r="U3" i="25"/>
  <c r="T3" i="25"/>
  <c r="S3" i="25"/>
  <c r="R3" i="25"/>
  <c r="Q3" i="25"/>
  <c r="P3" i="25"/>
  <c r="N3" i="25"/>
  <c r="M3" i="25"/>
  <c r="L3" i="25"/>
  <c r="K3" i="25"/>
  <c r="J3" i="25"/>
  <c r="I3" i="25"/>
  <c r="H3" i="25"/>
  <c r="G3" i="25"/>
  <c r="F3" i="25"/>
  <c r="E3" i="25"/>
  <c r="J9" i="21"/>
  <c r="G9" i="21"/>
  <c r="F9" i="21"/>
  <c r="E9" i="21"/>
  <c r="D9" i="21"/>
  <c r="C9" i="21"/>
  <c r="J8" i="21"/>
  <c r="G8" i="21"/>
  <c r="F8" i="21"/>
  <c r="E8" i="21"/>
  <c r="D8" i="21"/>
  <c r="C8" i="21"/>
  <c r="J7" i="21"/>
  <c r="G7" i="21"/>
  <c r="F7" i="21"/>
  <c r="E7" i="21"/>
  <c r="D7" i="21"/>
  <c r="C7" i="21"/>
  <c r="J6" i="21"/>
  <c r="G6" i="21"/>
  <c r="F6" i="21"/>
  <c r="E6" i="21"/>
  <c r="D6" i="21"/>
  <c r="C6" i="21"/>
  <c r="E344" i="24"/>
  <c r="D344" i="24"/>
  <c r="C344" i="24"/>
  <c r="E342" i="24"/>
  <c r="D342" i="24"/>
  <c r="C342" i="24"/>
  <c r="E341" i="24"/>
  <c r="D341" i="24"/>
  <c r="C341" i="24"/>
  <c r="E340" i="24"/>
  <c r="D340" i="24"/>
  <c r="C340" i="24"/>
  <c r="E339" i="24"/>
  <c r="D339" i="24"/>
  <c r="C339" i="24"/>
  <c r="E338" i="24"/>
  <c r="D338" i="24"/>
  <c r="C338" i="24"/>
  <c r="E337" i="24"/>
  <c r="D337" i="24"/>
  <c r="C337" i="24"/>
  <c r="E336" i="24"/>
  <c r="D336" i="24"/>
  <c r="C336" i="24"/>
  <c r="E335" i="24"/>
  <c r="D335" i="24"/>
  <c r="C335" i="24"/>
  <c r="E334" i="24"/>
  <c r="D334" i="24"/>
  <c r="C334" i="24"/>
  <c r="E333" i="24"/>
  <c r="D333" i="24"/>
  <c r="C333" i="24"/>
  <c r="E332" i="24"/>
  <c r="D332" i="24"/>
  <c r="C332" i="24"/>
  <c r="E331" i="24"/>
  <c r="D331" i="24"/>
  <c r="C331" i="24"/>
  <c r="E330" i="24"/>
  <c r="D330" i="24"/>
  <c r="C330" i="24"/>
  <c r="E329" i="24"/>
  <c r="D329" i="24"/>
  <c r="C329" i="24"/>
  <c r="E328" i="24"/>
  <c r="D328" i="24"/>
  <c r="C328" i="24"/>
  <c r="E327" i="24"/>
  <c r="D327" i="24"/>
  <c r="C327" i="24"/>
  <c r="E326" i="24"/>
  <c r="D326" i="24"/>
  <c r="C326" i="24"/>
  <c r="E325" i="24"/>
  <c r="D325" i="24"/>
  <c r="C325" i="24"/>
  <c r="E245" i="24"/>
  <c r="D245" i="24"/>
  <c r="C245" i="24"/>
  <c r="E243" i="24"/>
  <c r="D243" i="24"/>
  <c r="C243" i="24"/>
  <c r="E242" i="24"/>
  <c r="D242" i="24"/>
  <c r="C242" i="24"/>
  <c r="E241" i="24"/>
  <c r="D241" i="24"/>
  <c r="C241" i="24"/>
  <c r="E240" i="24"/>
  <c r="D240" i="24"/>
  <c r="C240" i="24"/>
  <c r="E239" i="24"/>
  <c r="D239" i="24"/>
  <c r="C239" i="24"/>
  <c r="E238" i="24"/>
  <c r="D238" i="24"/>
  <c r="C238" i="24"/>
  <c r="E237" i="24"/>
  <c r="D237" i="24"/>
  <c r="C237" i="24"/>
  <c r="E236" i="24"/>
  <c r="D236" i="24"/>
  <c r="C236" i="24"/>
  <c r="E235" i="24"/>
  <c r="D235" i="24"/>
  <c r="C235" i="24"/>
  <c r="E234" i="24"/>
  <c r="D234" i="24"/>
  <c r="C234" i="24"/>
  <c r="E233" i="24"/>
  <c r="D233" i="24"/>
  <c r="C233" i="24"/>
  <c r="E232" i="24"/>
  <c r="D232" i="24"/>
  <c r="C232" i="24"/>
  <c r="E231" i="24"/>
  <c r="D231" i="24"/>
  <c r="C231" i="24"/>
  <c r="E230" i="24"/>
  <c r="D230" i="24"/>
  <c r="C230" i="24"/>
  <c r="E229" i="24"/>
  <c r="D229" i="24"/>
  <c r="C229" i="24"/>
  <c r="E228" i="24"/>
  <c r="D228" i="24"/>
  <c r="C228" i="24"/>
  <c r="E227" i="24"/>
  <c r="D227" i="24"/>
  <c r="C227" i="24"/>
  <c r="E226" i="24"/>
  <c r="D226" i="24"/>
  <c r="C226" i="24"/>
  <c r="E145" i="24"/>
  <c r="D145" i="24"/>
  <c r="C145" i="24"/>
  <c r="E143" i="24"/>
  <c r="D143" i="24"/>
  <c r="C143" i="24"/>
  <c r="E142" i="24"/>
  <c r="D142" i="24"/>
  <c r="C142" i="24"/>
  <c r="E141" i="24"/>
  <c r="D141" i="24"/>
  <c r="C141" i="24"/>
  <c r="E140" i="24"/>
  <c r="D140" i="24"/>
  <c r="C140" i="24"/>
  <c r="E139" i="24"/>
  <c r="D139" i="24"/>
  <c r="C139" i="24"/>
  <c r="E138" i="24"/>
  <c r="D138" i="24"/>
  <c r="C138" i="24"/>
  <c r="E137" i="24"/>
  <c r="D137" i="24"/>
  <c r="C137" i="24"/>
  <c r="E136" i="24"/>
  <c r="D136" i="24"/>
  <c r="C136" i="24"/>
  <c r="E135" i="24"/>
  <c r="D135" i="24"/>
  <c r="C135" i="24"/>
  <c r="E134" i="24"/>
  <c r="D134" i="24"/>
  <c r="C134" i="24"/>
  <c r="E133" i="24"/>
  <c r="D133" i="24"/>
  <c r="C133" i="24"/>
  <c r="E132" i="24"/>
  <c r="D132" i="24"/>
  <c r="C132" i="24"/>
  <c r="E131" i="24"/>
  <c r="D131" i="24"/>
  <c r="C131" i="24"/>
  <c r="E130" i="24"/>
  <c r="D130" i="24"/>
  <c r="C130" i="24"/>
  <c r="E129" i="24"/>
  <c r="D129" i="24"/>
  <c r="C129" i="24"/>
  <c r="E128" i="24"/>
  <c r="D128" i="24"/>
  <c r="C128" i="24"/>
  <c r="E127" i="24"/>
  <c r="D127" i="24"/>
  <c r="C127" i="24"/>
  <c r="E126" i="24"/>
  <c r="D126" i="24"/>
  <c r="C126" i="24"/>
  <c r="E22" i="24"/>
  <c r="D22" i="24"/>
  <c r="C22" i="24"/>
  <c r="E20" i="24"/>
  <c r="D20" i="24"/>
  <c r="C20" i="24"/>
  <c r="E19" i="24"/>
  <c r="D19" i="24"/>
  <c r="C19" i="24"/>
  <c r="E18" i="24"/>
  <c r="D18" i="24"/>
  <c r="C18" i="24"/>
  <c r="E17" i="24"/>
  <c r="D17" i="24"/>
  <c r="C17" i="24"/>
  <c r="E16" i="24"/>
  <c r="D16" i="24"/>
  <c r="C16" i="24"/>
  <c r="E15" i="24"/>
  <c r="D15" i="24"/>
  <c r="C15" i="24"/>
  <c r="E14" i="24"/>
  <c r="D14" i="24"/>
  <c r="C14" i="24"/>
  <c r="E13" i="24"/>
  <c r="D13" i="24"/>
  <c r="C13" i="24"/>
  <c r="E12" i="24"/>
  <c r="D12" i="24"/>
  <c r="C12" i="24"/>
  <c r="E11" i="24"/>
  <c r="D11" i="24"/>
  <c r="C11" i="24"/>
  <c r="E10" i="24"/>
  <c r="D10" i="24"/>
  <c r="C10" i="24"/>
  <c r="E9" i="24"/>
  <c r="D9" i="24"/>
  <c r="C9" i="24"/>
  <c r="E8" i="24"/>
  <c r="D8" i="24"/>
  <c r="C8" i="24"/>
  <c r="E7" i="24"/>
  <c r="D7" i="24"/>
  <c r="C7" i="24"/>
  <c r="E6" i="24"/>
  <c r="D6" i="24"/>
  <c r="C6" i="24"/>
  <c r="E5" i="24"/>
  <c r="D5" i="24"/>
  <c r="C5" i="24"/>
  <c r="E4" i="24"/>
  <c r="D4" i="24"/>
  <c r="C4" i="24"/>
  <c r="E3" i="24"/>
  <c r="D3" i="24"/>
  <c r="C3" i="24"/>
  <c r="F49" i="22"/>
  <c r="E49" i="22"/>
  <c r="D49" i="22"/>
  <c r="C49" i="22"/>
  <c r="F47" i="22"/>
  <c r="E47" i="22"/>
  <c r="D47" i="22"/>
  <c r="C47" i="22"/>
  <c r="F46" i="22"/>
  <c r="E46" i="22"/>
  <c r="D46" i="22"/>
  <c r="C46" i="22"/>
  <c r="F45" i="22"/>
  <c r="E45" i="22"/>
  <c r="D45" i="22"/>
  <c r="C45" i="22"/>
  <c r="F44" i="22"/>
  <c r="E44" i="22"/>
  <c r="D44" i="22"/>
  <c r="C44" i="22"/>
  <c r="F43" i="22"/>
  <c r="E43" i="22"/>
  <c r="D43" i="22"/>
  <c r="C43" i="22"/>
  <c r="F42" i="22"/>
  <c r="E42" i="22"/>
  <c r="D42" i="22"/>
  <c r="C42" i="22"/>
  <c r="F41" i="22"/>
  <c r="E41" i="22"/>
  <c r="D41" i="22"/>
  <c r="C41" i="22"/>
  <c r="F40" i="22"/>
  <c r="E40" i="22"/>
  <c r="D40" i="22"/>
  <c r="C40" i="22"/>
  <c r="F39" i="22"/>
  <c r="E39" i="22"/>
  <c r="D39" i="22"/>
  <c r="C39" i="22"/>
  <c r="F38" i="22"/>
  <c r="E38" i="22"/>
  <c r="D38" i="22"/>
  <c r="C38" i="22"/>
  <c r="F37" i="22"/>
  <c r="E37" i="22"/>
  <c r="D37" i="22"/>
  <c r="C37" i="22"/>
  <c r="F36" i="22"/>
  <c r="E36" i="22"/>
  <c r="D36" i="22"/>
  <c r="C36" i="22"/>
  <c r="F35" i="22"/>
  <c r="E35" i="22"/>
  <c r="D35" i="22"/>
  <c r="C35" i="22"/>
  <c r="F34" i="22"/>
  <c r="E34" i="22"/>
  <c r="D34" i="22"/>
  <c r="C34" i="22"/>
  <c r="F33" i="22"/>
  <c r="E33" i="22"/>
  <c r="D33" i="22"/>
  <c r="C33" i="22"/>
  <c r="F32" i="22"/>
  <c r="E32" i="22"/>
  <c r="D32" i="22"/>
  <c r="C32" i="22"/>
  <c r="F31" i="22"/>
  <c r="E31" i="22"/>
  <c r="D31" i="22"/>
  <c r="C31" i="22"/>
  <c r="F30" i="22"/>
  <c r="E30" i="22"/>
  <c r="D30" i="22"/>
  <c r="C30" i="22"/>
  <c r="E5" i="26"/>
  <c r="E6" i="26"/>
  <c r="E11" i="26"/>
  <c r="E12" i="26"/>
  <c r="E13" i="26"/>
  <c r="E14" i="26"/>
  <c r="E19" i="26"/>
  <c r="E20" i="26"/>
  <c r="B20" i="31"/>
  <c r="B3" i="31"/>
  <c r="E4" i="26" s="1"/>
  <c r="B4" i="30"/>
  <c r="C5" i="29" s="1"/>
  <c r="B5" i="30"/>
  <c r="C6" i="29" s="1"/>
  <c r="B6" i="30"/>
  <c r="C7" i="29" s="1"/>
  <c r="B7" i="30"/>
  <c r="C8" i="29" s="1"/>
  <c r="B8" i="30"/>
  <c r="C9" i="26" s="1"/>
  <c r="B9" i="30"/>
  <c r="C10" i="26" s="1"/>
  <c r="B10" i="30"/>
  <c r="C11" i="26" s="1"/>
  <c r="B11" i="30"/>
  <c r="C12" i="29" s="1"/>
  <c r="B12" i="30"/>
  <c r="R225" i="24" s="1"/>
  <c r="B13" i="30"/>
  <c r="C14" i="29" s="1"/>
  <c r="B14" i="30"/>
  <c r="R75" i="24" s="1"/>
  <c r="B15" i="30"/>
  <c r="R274" i="24" s="1"/>
  <c r="B16" i="30"/>
  <c r="R249" i="24" s="1"/>
  <c r="B17" i="30"/>
  <c r="C18" i="26" s="1"/>
  <c r="C19" i="26"/>
  <c r="B19" i="30"/>
  <c r="C20" i="29" s="1"/>
  <c r="B3" i="30"/>
  <c r="C4" i="26" s="1"/>
  <c r="R349" i="24"/>
  <c r="R299" i="24" l="1"/>
  <c r="C18" i="29"/>
  <c r="R19" i="39"/>
  <c r="R38" i="48"/>
  <c r="R38" i="36"/>
  <c r="R19" i="36"/>
  <c r="R38" i="37"/>
  <c r="R38" i="47"/>
  <c r="R38" i="42"/>
  <c r="R19" i="45"/>
  <c r="R19" i="47"/>
  <c r="R38" i="38"/>
  <c r="R19" i="38"/>
  <c r="R19" i="37"/>
  <c r="R19" i="48"/>
  <c r="R38" i="41"/>
  <c r="R19" i="44"/>
  <c r="R19" i="50"/>
  <c r="R19" i="42"/>
  <c r="R38" i="44"/>
  <c r="R38" i="50"/>
  <c r="R19" i="41"/>
  <c r="R38" i="46"/>
  <c r="R19" i="51"/>
  <c r="R38" i="43"/>
  <c r="R19" i="46"/>
  <c r="R38" i="49"/>
  <c r="R19" i="43"/>
  <c r="R19" i="49"/>
  <c r="R19" i="40"/>
  <c r="R38" i="45"/>
  <c r="R38" i="51"/>
  <c r="F18" i="26"/>
  <c r="F10" i="26"/>
  <c r="F9" i="26"/>
  <c r="F19" i="26"/>
  <c r="F11" i="26"/>
  <c r="F4" i="26"/>
  <c r="R324" i="24"/>
  <c r="C19" i="29"/>
  <c r="C6" i="26"/>
  <c r="F6" i="26" s="1"/>
  <c r="C4" i="29"/>
  <c r="R2" i="24"/>
  <c r="C17" i="26"/>
  <c r="F17" i="26" s="1"/>
  <c r="C17" i="29"/>
  <c r="C16" i="29"/>
  <c r="C16" i="26"/>
  <c r="F16" i="26" s="1"/>
  <c r="C15" i="26"/>
  <c r="F15" i="26" s="1"/>
  <c r="C15" i="29"/>
  <c r="R50" i="24"/>
  <c r="C14" i="26"/>
  <c r="F14" i="26" s="1"/>
  <c r="C13" i="26"/>
  <c r="F13" i="26" s="1"/>
  <c r="C13" i="29"/>
  <c r="C11" i="29"/>
  <c r="C10" i="29"/>
  <c r="R150" i="24"/>
  <c r="R125" i="24"/>
  <c r="C9" i="29"/>
  <c r="C8" i="26"/>
  <c r="F8" i="26" s="1"/>
  <c r="R100" i="24"/>
  <c r="C7" i="26"/>
  <c r="F7" i="26" s="1"/>
  <c r="R26" i="24"/>
  <c r="C5" i="26"/>
  <c r="F5" i="26" s="1"/>
  <c r="C20" i="26"/>
  <c r="F20" i="26" s="1"/>
  <c r="R200" i="24"/>
  <c r="R175" i="24"/>
  <c r="C12" i="26"/>
  <c r="F12" i="26" s="1"/>
  <c r="G23" i="21" l="1"/>
  <c r="F23" i="21"/>
  <c r="E23" i="21"/>
  <c r="D23" i="21"/>
  <c r="C23" i="21"/>
  <c r="G28" i="21"/>
  <c r="F28" i="21"/>
  <c r="E28" i="21"/>
  <c r="D28" i="21"/>
  <c r="C28" i="21"/>
  <c r="G27" i="21"/>
  <c r="F27" i="21"/>
  <c r="E27" i="21"/>
  <c r="D27" i="21"/>
  <c r="C27" i="21"/>
  <c r="C21" i="30" l="1"/>
  <c r="P20" i="29"/>
  <c r="N20" i="29"/>
  <c r="P19" i="29"/>
  <c r="N19" i="29"/>
  <c r="O18" i="29"/>
  <c r="P18" i="29" s="1"/>
  <c r="M18" i="29"/>
  <c r="N18" i="29" s="1"/>
  <c r="L18" i="29"/>
  <c r="K18" i="29"/>
  <c r="J18" i="29"/>
  <c r="I18" i="29"/>
  <c r="H18" i="29"/>
  <c r="G18" i="29"/>
  <c r="F18" i="29"/>
  <c r="E18" i="29"/>
  <c r="O17" i="29"/>
  <c r="P17" i="29" s="1"/>
  <c r="M17" i="29"/>
  <c r="N17" i="29" s="1"/>
  <c r="L17" i="29"/>
  <c r="K17" i="29"/>
  <c r="J17" i="29"/>
  <c r="I17" i="29"/>
  <c r="H17" i="29"/>
  <c r="G17" i="29"/>
  <c r="F17" i="29"/>
  <c r="E17" i="29"/>
  <c r="O16" i="29"/>
  <c r="P16" i="29" s="1"/>
  <c r="M16" i="29"/>
  <c r="N16" i="29" s="1"/>
  <c r="L16" i="29"/>
  <c r="K16" i="29"/>
  <c r="J16" i="29"/>
  <c r="I16" i="29"/>
  <c r="H16" i="29"/>
  <c r="G16" i="29"/>
  <c r="F16" i="29"/>
  <c r="E16" i="29"/>
  <c r="O15" i="29"/>
  <c r="P15" i="29" s="1"/>
  <c r="M15" i="29"/>
  <c r="N15" i="29" s="1"/>
  <c r="L15" i="29"/>
  <c r="K15" i="29"/>
  <c r="J15" i="29"/>
  <c r="I15" i="29"/>
  <c r="H15" i="29"/>
  <c r="G15" i="29"/>
  <c r="F15" i="29"/>
  <c r="E15" i="29"/>
  <c r="O14" i="29"/>
  <c r="P14" i="29" s="1"/>
  <c r="M14" i="29"/>
  <c r="N14" i="29" s="1"/>
  <c r="L14" i="29"/>
  <c r="K14" i="29"/>
  <c r="J14" i="29"/>
  <c r="I14" i="29"/>
  <c r="H14" i="29"/>
  <c r="G14" i="29"/>
  <c r="F14" i="29"/>
  <c r="E14" i="29"/>
  <c r="P13" i="29"/>
  <c r="N13" i="29"/>
  <c r="O12" i="29"/>
  <c r="P12" i="29" s="1"/>
  <c r="M12" i="29"/>
  <c r="N12" i="29" s="1"/>
  <c r="L12" i="29"/>
  <c r="K12" i="29"/>
  <c r="J12" i="29"/>
  <c r="I12" i="29"/>
  <c r="H12" i="29"/>
  <c r="G12" i="29"/>
  <c r="F12" i="29"/>
  <c r="E12" i="29"/>
  <c r="O11" i="29"/>
  <c r="P11" i="29" s="1"/>
  <c r="M11" i="29"/>
  <c r="N11" i="29" s="1"/>
  <c r="L11" i="29"/>
  <c r="K11" i="29"/>
  <c r="J11" i="29"/>
  <c r="I11" i="29"/>
  <c r="H11" i="29"/>
  <c r="G11" i="29"/>
  <c r="F11" i="29"/>
  <c r="E11" i="29"/>
  <c r="O10" i="29"/>
  <c r="P10" i="29" s="1"/>
  <c r="M10" i="29"/>
  <c r="N10" i="29" s="1"/>
  <c r="L10" i="29"/>
  <c r="K10" i="29"/>
  <c r="J10" i="29"/>
  <c r="I10" i="29"/>
  <c r="H10" i="29"/>
  <c r="G10" i="29"/>
  <c r="F10" i="29"/>
  <c r="E10" i="29"/>
  <c r="P9" i="29"/>
  <c r="N9" i="29"/>
  <c r="O8" i="29"/>
  <c r="P8" i="29" s="1"/>
  <c r="M8" i="29"/>
  <c r="N8" i="29" s="1"/>
  <c r="L8" i="29"/>
  <c r="K8" i="29"/>
  <c r="J8" i="29"/>
  <c r="I8" i="29"/>
  <c r="H8" i="29"/>
  <c r="G8" i="29"/>
  <c r="F8" i="29"/>
  <c r="E8" i="29"/>
  <c r="O7" i="29"/>
  <c r="P7" i="29" s="1"/>
  <c r="M7" i="29"/>
  <c r="N7" i="29" s="1"/>
  <c r="L7" i="29"/>
  <c r="K7" i="29"/>
  <c r="J7" i="29"/>
  <c r="I7" i="29"/>
  <c r="H7" i="29"/>
  <c r="G7" i="29"/>
  <c r="F7" i="29"/>
  <c r="E7" i="29"/>
  <c r="P6" i="29"/>
  <c r="N6" i="29"/>
  <c r="P5" i="29"/>
  <c r="N5" i="29"/>
  <c r="O4" i="29"/>
  <c r="P4" i="29" s="1"/>
  <c r="M4" i="29"/>
  <c r="N4" i="29" s="1"/>
  <c r="L4" i="29"/>
  <c r="K4" i="29"/>
  <c r="J4" i="29"/>
  <c r="I4" i="29"/>
  <c r="H4" i="29"/>
  <c r="G4" i="29"/>
  <c r="F4" i="29"/>
  <c r="E4" i="29"/>
  <c r="T18" i="26"/>
  <c r="S18" i="26"/>
  <c r="R18" i="26"/>
  <c r="Q18" i="26"/>
  <c r="P18" i="26"/>
  <c r="O18" i="26"/>
  <c r="N18" i="26"/>
  <c r="M18" i="26"/>
  <c r="L18" i="26"/>
  <c r="K18" i="26"/>
  <c r="J18" i="26"/>
  <c r="I18" i="26"/>
  <c r="H18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H17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H16" i="26"/>
  <c r="T14" i="26"/>
  <c r="S14" i="26"/>
  <c r="R14" i="26"/>
  <c r="Q14" i="26"/>
  <c r="P14" i="26"/>
  <c r="O14" i="26"/>
  <c r="N14" i="26"/>
  <c r="M14" i="26"/>
  <c r="L14" i="26"/>
  <c r="K14" i="26"/>
  <c r="J14" i="26"/>
  <c r="I14" i="26"/>
  <c r="H14" i="26"/>
  <c r="T12" i="26"/>
  <c r="S12" i="26"/>
  <c r="R12" i="26"/>
  <c r="Q12" i="26"/>
  <c r="P12" i="26"/>
  <c r="O12" i="26"/>
  <c r="N12" i="26"/>
  <c r="M12" i="26"/>
  <c r="L12" i="26"/>
  <c r="K12" i="26"/>
  <c r="J12" i="26"/>
  <c r="I12" i="26"/>
  <c r="H12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H11" i="26"/>
  <c r="T10" i="26"/>
  <c r="S10" i="26"/>
  <c r="R10" i="26"/>
  <c r="Q10" i="26"/>
  <c r="P10" i="26"/>
  <c r="O10" i="26"/>
  <c r="N10" i="26"/>
  <c r="M10" i="26"/>
  <c r="L10" i="26"/>
  <c r="K10" i="26"/>
  <c r="J10" i="26"/>
  <c r="I10" i="26"/>
  <c r="H10" i="26"/>
  <c r="T8" i="26"/>
  <c r="S8" i="26"/>
  <c r="R8" i="26"/>
  <c r="Q8" i="26"/>
  <c r="P8" i="26"/>
  <c r="O8" i="26"/>
  <c r="N8" i="26"/>
  <c r="M8" i="26"/>
  <c r="L8" i="26"/>
  <c r="K8" i="26"/>
  <c r="J8" i="26"/>
  <c r="I8" i="26"/>
  <c r="H8" i="26"/>
  <c r="T7" i="26"/>
  <c r="S7" i="26"/>
  <c r="R7" i="26"/>
  <c r="Q7" i="26"/>
  <c r="P7" i="26"/>
  <c r="O7" i="26"/>
  <c r="N7" i="26"/>
  <c r="M7" i="26"/>
  <c r="L7" i="26"/>
  <c r="K7" i="26"/>
  <c r="J7" i="26"/>
  <c r="I7" i="26"/>
  <c r="H7" i="26"/>
  <c r="T4" i="26"/>
  <c r="S4" i="26"/>
  <c r="R4" i="26"/>
  <c r="Q4" i="26"/>
  <c r="P4" i="26"/>
  <c r="O4" i="26"/>
  <c r="N4" i="26"/>
  <c r="M4" i="26"/>
  <c r="L4" i="26"/>
  <c r="K4" i="26"/>
  <c r="J4" i="26"/>
  <c r="I4" i="26"/>
  <c r="H4" i="26"/>
  <c r="AA15" i="25"/>
  <c r="AA13" i="25"/>
  <c r="AA12" i="25"/>
  <c r="AA11" i="25"/>
  <c r="AA10" i="25"/>
  <c r="AA8" i="25"/>
  <c r="AA7" i="25"/>
  <c r="AA6" i="25"/>
  <c r="AA5" i="25"/>
  <c r="AA4" i="25"/>
  <c r="M15" i="25"/>
  <c r="M13" i="25"/>
  <c r="M12" i="25"/>
  <c r="M11" i="25"/>
  <c r="M10" i="25"/>
  <c r="M8" i="25"/>
  <c r="M7" i="25"/>
  <c r="M6" i="25"/>
  <c r="M5" i="25"/>
  <c r="M4" i="25"/>
  <c r="Z15" i="25"/>
  <c r="Y15" i="25"/>
  <c r="X15" i="25"/>
  <c r="W15" i="25"/>
  <c r="V15" i="25"/>
  <c r="U15" i="25"/>
  <c r="T15" i="25"/>
  <c r="S15" i="25"/>
  <c r="R15" i="25"/>
  <c r="Q15" i="25"/>
  <c r="P15" i="25"/>
  <c r="N15" i="25"/>
  <c r="L15" i="25"/>
  <c r="K15" i="25"/>
  <c r="J15" i="25"/>
  <c r="I15" i="25"/>
  <c r="H15" i="25"/>
  <c r="G15" i="25"/>
  <c r="F15" i="25"/>
  <c r="E15" i="25"/>
  <c r="Z13" i="25"/>
  <c r="Y13" i="25"/>
  <c r="X13" i="25"/>
  <c r="W13" i="25"/>
  <c r="V13" i="25"/>
  <c r="U13" i="25"/>
  <c r="T13" i="25"/>
  <c r="S13" i="25"/>
  <c r="R13" i="25"/>
  <c r="Q13" i="25"/>
  <c r="P13" i="25"/>
  <c r="N13" i="25"/>
  <c r="L13" i="25"/>
  <c r="K13" i="25"/>
  <c r="J13" i="25"/>
  <c r="I13" i="25"/>
  <c r="H13" i="25"/>
  <c r="G13" i="25"/>
  <c r="F13" i="25"/>
  <c r="E13" i="25"/>
  <c r="Z12" i="25"/>
  <c r="Y12" i="25"/>
  <c r="X12" i="25"/>
  <c r="W12" i="25"/>
  <c r="V12" i="25"/>
  <c r="U12" i="25"/>
  <c r="T12" i="25"/>
  <c r="S12" i="25"/>
  <c r="R12" i="25"/>
  <c r="Q12" i="25"/>
  <c r="P12" i="25"/>
  <c r="N12" i="25"/>
  <c r="L12" i="25"/>
  <c r="K12" i="25"/>
  <c r="J12" i="25"/>
  <c r="I12" i="25"/>
  <c r="H12" i="25"/>
  <c r="G12" i="25"/>
  <c r="F12" i="25"/>
  <c r="E12" i="25"/>
  <c r="Z11" i="25"/>
  <c r="Y11" i="25"/>
  <c r="X11" i="25"/>
  <c r="W11" i="25"/>
  <c r="V11" i="25"/>
  <c r="U11" i="25"/>
  <c r="T11" i="25"/>
  <c r="S11" i="25"/>
  <c r="R11" i="25"/>
  <c r="Q11" i="25"/>
  <c r="P11" i="25"/>
  <c r="N11" i="25"/>
  <c r="L11" i="25"/>
  <c r="K11" i="25"/>
  <c r="J11" i="25"/>
  <c r="I11" i="25"/>
  <c r="H11" i="25"/>
  <c r="G11" i="25"/>
  <c r="F11" i="25"/>
  <c r="E11" i="25"/>
  <c r="Z10" i="25"/>
  <c r="Y10" i="25"/>
  <c r="X10" i="25"/>
  <c r="W10" i="25"/>
  <c r="V10" i="25"/>
  <c r="U10" i="25"/>
  <c r="T10" i="25"/>
  <c r="S10" i="25"/>
  <c r="R10" i="25"/>
  <c r="Q10" i="25"/>
  <c r="P10" i="25"/>
  <c r="N10" i="25"/>
  <c r="L10" i="25"/>
  <c r="K10" i="25"/>
  <c r="J10" i="25"/>
  <c r="I10" i="25"/>
  <c r="H10" i="25"/>
  <c r="G10" i="25"/>
  <c r="F10" i="25"/>
  <c r="E10" i="25"/>
  <c r="Z8" i="25"/>
  <c r="Y8" i="25"/>
  <c r="X8" i="25"/>
  <c r="W8" i="25"/>
  <c r="V8" i="25"/>
  <c r="U8" i="25"/>
  <c r="T8" i="25"/>
  <c r="S8" i="25"/>
  <c r="R8" i="25"/>
  <c r="Q8" i="25"/>
  <c r="P8" i="25"/>
  <c r="N8" i="25"/>
  <c r="L8" i="25"/>
  <c r="K8" i="25"/>
  <c r="J8" i="25"/>
  <c r="I8" i="25"/>
  <c r="H8" i="25"/>
  <c r="G8" i="25"/>
  <c r="F8" i="25"/>
  <c r="E8" i="25"/>
  <c r="J342" i="24"/>
  <c r="U342" i="24" s="1"/>
  <c r="J341" i="24"/>
  <c r="J339" i="24"/>
  <c r="U339" i="24" s="1"/>
  <c r="J338" i="24"/>
  <c r="J337" i="24"/>
  <c r="U337" i="24" s="1"/>
  <c r="J336" i="24"/>
  <c r="U336" i="24" s="1"/>
  <c r="J333" i="24"/>
  <c r="U333" i="24" s="1"/>
  <c r="J332" i="24"/>
  <c r="J329" i="24"/>
  <c r="U329" i="24" s="1"/>
  <c r="J328" i="24"/>
  <c r="U328" i="24" s="1"/>
  <c r="E319" i="24"/>
  <c r="D319" i="24"/>
  <c r="C319" i="24"/>
  <c r="J319" i="24" s="1"/>
  <c r="U319" i="24" s="1"/>
  <c r="E317" i="24"/>
  <c r="D317" i="24"/>
  <c r="C317" i="24"/>
  <c r="E316" i="24"/>
  <c r="D316" i="24"/>
  <c r="C316" i="24"/>
  <c r="E315" i="24"/>
  <c r="D315" i="24"/>
  <c r="C315" i="24"/>
  <c r="J315" i="24" s="1"/>
  <c r="U315" i="24" s="1"/>
  <c r="E314" i="24"/>
  <c r="D314" i="24"/>
  <c r="C314" i="24"/>
  <c r="E313" i="24"/>
  <c r="D313" i="24"/>
  <c r="C313" i="24"/>
  <c r="E312" i="24"/>
  <c r="D312" i="24"/>
  <c r="C312" i="24"/>
  <c r="E311" i="24"/>
  <c r="D311" i="24"/>
  <c r="C311" i="24"/>
  <c r="J311" i="24" s="1"/>
  <c r="U311" i="24" s="1"/>
  <c r="E310" i="24"/>
  <c r="D310" i="24"/>
  <c r="C310" i="24"/>
  <c r="J310" i="24" s="1"/>
  <c r="E309" i="24"/>
  <c r="D309" i="24"/>
  <c r="C309" i="24"/>
  <c r="E308" i="24"/>
  <c r="D308" i="24"/>
  <c r="C308" i="24"/>
  <c r="E307" i="24"/>
  <c r="D307" i="24"/>
  <c r="C307" i="24"/>
  <c r="J307" i="24" s="1"/>
  <c r="E306" i="24"/>
  <c r="D306" i="24"/>
  <c r="C306" i="24"/>
  <c r="J306" i="24" s="1"/>
  <c r="U306" i="24" s="1"/>
  <c r="E305" i="24"/>
  <c r="D305" i="24"/>
  <c r="C305" i="24"/>
  <c r="E304" i="24"/>
  <c r="D304" i="24"/>
  <c r="C304" i="24"/>
  <c r="E303" i="24"/>
  <c r="D303" i="24"/>
  <c r="C303" i="24"/>
  <c r="J303" i="24" s="1"/>
  <c r="U303" i="24" s="1"/>
  <c r="E302" i="24"/>
  <c r="D302" i="24"/>
  <c r="C302" i="24"/>
  <c r="J302" i="24" s="1"/>
  <c r="E301" i="24"/>
  <c r="D301" i="24"/>
  <c r="C301" i="24"/>
  <c r="E300" i="24"/>
  <c r="D300" i="24"/>
  <c r="C300" i="24"/>
  <c r="E294" i="24"/>
  <c r="D294" i="24"/>
  <c r="C294" i="24"/>
  <c r="J294" i="24" s="1"/>
  <c r="U294" i="24" s="1"/>
  <c r="E292" i="24"/>
  <c r="D292" i="24"/>
  <c r="C292" i="24"/>
  <c r="E291" i="24"/>
  <c r="D291" i="24"/>
  <c r="C291" i="24"/>
  <c r="E290" i="24"/>
  <c r="D290" i="24"/>
  <c r="C290" i="24"/>
  <c r="J290" i="24" s="1"/>
  <c r="U290" i="24" s="1"/>
  <c r="E289" i="24"/>
  <c r="D289" i="24"/>
  <c r="C289" i="24"/>
  <c r="J289" i="24" s="1"/>
  <c r="U289" i="24" s="1"/>
  <c r="E288" i="24"/>
  <c r="D288" i="24"/>
  <c r="C288" i="24"/>
  <c r="E287" i="24"/>
  <c r="D287" i="24"/>
  <c r="C287" i="24"/>
  <c r="J287" i="24" s="1"/>
  <c r="E286" i="24"/>
  <c r="D286" i="24"/>
  <c r="C286" i="24"/>
  <c r="E285" i="24"/>
  <c r="D285" i="24"/>
  <c r="C285" i="24"/>
  <c r="J285" i="24" s="1"/>
  <c r="E284" i="24"/>
  <c r="D284" i="24"/>
  <c r="C284" i="24"/>
  <c r="E283" i="24"/>
  <c r="D283" i="24"/>
  <c r="C283" i="24"/>
  <c r="J283" i="24" s="1"/>
  <c r="E282" i="24"/>
  <c r="D282" i="24"/>
  <c r="C282" i="24"/>
  <c r="J282" i="24" s="1"/>
  <c r="E281" i="24"/>
  <c r="D281" i="24"/>
  <c r="C281" i="24"/>
  <c r="J281" i="24" s="1"/>
  <c r="U281" i="24" s="1"/>
  <c r="E280" i="24"/>
  <c r="D280" i="24"/>
  <c r="C280" i="24"/>
  <c r="E279" i="24"/>
  <c r="D279" i="24"/>
  <c r="C279" i="24"/>
  <c r="J279" i="24" s="1"/>
  <c r="E278" i="24"/>
  <c r="D278" i="24"/>
  <c r="C278" i="24"/>
  <c r="E277" i="24"/>
  <c r="D277" i="24"/>
  <c r="C277" i="24"/>
  <c r="J277" i="24" s="1"/>
  <c r="E276" i="24"/>
  <c r="D276" i="24"/>
  <c r="C276" i="24"/>
  <c r="E275" i="24"/>
  <c r="D275" i="24"/>
  <c r="C275" i="24"/>
  <c r="E269" i="24"/>
  <c r="D269" i="24"/>
  <c r="C269" i="24"/>
  <c r="J269" i="24" s="1"/>
  <c r="U269" i="24" s="1"/>
  <c r="E267" i="24"/>
  <c r="D267" i="24"/>
  <c r="C267" i="24"/>
  <c r="E266" i="24"/>
  <c r="D266" i="24"/>
  <c r="C266" i="24"/>
  <c r="J266" i="24" s="1"/>
  <c r="E265" i="24"/>
  <c r="D265" i="24"/>
  <c r="C265" i="24"/>
  <c r="J265" i="24" s="1"/>
  <c r="U265" i="24" s="1"/>
  <c r="E264" i="24"/>
  <c r="D264" i="24"/>
  <c r="C264" i="24"/>
  <c r="E263" i="24"/>
  <c r="D263" i="24"/>
  <c r="C263" i="24"/>
  <c r="E262" i="24"/>
  <c r="D262" i="24"/>
  <c r="C262" i="24"/>
  <c r="J262" i="24" s="1"/>
  <c r="U262" i="24" s="1"/>
  <c r="E261" i="24"/>
  <c r="D261" i="24"/>
  <c r="C261" i="24"/>
  <c r="J261" i="24" s="1"/>
  <c r="U261" i="24" s="1"/>
  <c r="E260" i="24"/>
  <c r="D260" i="24"/>
  <c r="C260" i="24"/>
  <c r="E259" i="24"/>
  <c r="D259" i="24"/>
  <c r="C259" i="24"/>
  <c r="E258" i="24"/>
  <c r="D258" i="24"/>
  <c r="C258" i="24"/>
  <c r="J258" i="24" s="1"/>
  <c r="U258" i="24" s="1"/>
  <c r="E257" i="24"/>
  <c r="D257" i="24"/>
  <c r="C257" i="24"/>
  <c r="J257" i="24" s="1"/>
  <c r="E256" i="24"/>
  <c r="D256" i="24"/>
  <c r="C256" i="24"/>
  <c r="E255" i="24"/>
  <c r="D255" i="24"/>
  <c r="C255" i="24"/>
  <c r="E254" i="24"/>
  <c r="D254" i="24"/>
  <c r="C254" i="24"/>
  <c r="E253" i="24"/>
  <c r="D253" i="24"/>
  <c r="C253" i="24"/>
  <c r="E252" i="24"/>
  <c r="D252" i="24"/>
  <c r="C252" i="24"/>
  <c r="E251" i="24"/>
  <c r="D251" i="24"/>
  <c r="C251" i="24"/>
  <c r="E250" i="24"/>
  <c r="D250" i="24"/>
  <c r="C250" i="24"/>
  <c r="J245" i="24"/>
  <c r="U245" i="24" s="1"/>
  <c r="J241" i="24"/>
  <c r="U241" i="24" s="1"/>
  <c r="J240" i="24"/>
  <c r="U240" i="24" s="1"/>
  <c r="J238" i="24"/>
  <c r="J237" i="24"/>
  <c r="U237" i="24" s="1"/>
  <c r="J236" i="24"/>
  <c r="J234" i="24"/>
  <c r="J233" i="24"/>
  <c r="J229" i="24"/>
  <c r="U229" i="24" s="1"/>
  <c r="J228" i="24"/>
  <c r="E220" i="24"/>
  <c r="D220" i="24"/>
  <c r="C220" i="24"/>
  <c r="J220" i="24" s="1"/>
  <c r="U220" i="24" s="1"/>
  <c r="E218" i="24"/>
  <c r="D218" i="24"/>
  <c r="C218" i="24"/>
  <c r="E217" i="24"/>
  <c r="D217" i="24"/>
  <c r="C217" i="24"/>
  <c r="E216" i="24"/>
  <c r="D216" i="24"/>
  <c r="C216" i="24"/>
  <c r="E215" i="24"/>
  <c r="D215" i="24"/>
  <c r="C215" i="24"/>
  <c r="J215" i="24" s="1"/>
  <c r="U215" i="24" s="1"/>
  <c r="E214" i="24"/>
  <c r="D214" i="24"/>
  <c r="C214" i="24"/>
  <c r="E213" i="24"/>
  <c r="D213" i="24"/>
  <c r="C213" i="24"/>
  <c r="E212" i="24"/>
  <c r="D212" i="24"/>
  <c r="C212" i="24"/>
  <c r="E211" i="24"/>
  <c r="D211" i="24"/>
  <c r="C211" i="24"/>
  <c r="E210" i="24"/>
  <c r="D210" i="24"/>
  <c r="C210" i="24"/>
  <c r="E209" i="24"/>
  <c r="D209" i="24"/>
  <c r="C209" i="24"/>
  <c r="E208" i="24"/>
  <c r="D208" i="24"/>
  <c r="C208" i="24"/>
  <c r="E207" i="24"/>
  <c r="D207" i="24"/>
  <c r="C207" i="24"/>
  <c r="J207" i="24" s="1"/>
  <c r="U207" i="24" s="1"/>
  <c r="E206" i="24"/>
  <c r="D206" i="24"/>
  <c r="C206" i="24"/>
  <c r="E205" i="24"/>
  <c r="D205" i="24"/>
  <c r="C205" i="24"/>
  <c r="E204" i="24"/>
  <c r="D204" i="24"/>
  <c r="C204" i="24"/>
  <c r="J204" i="24" s="1"/>
  <c r="U204" i="24" s="1"/>
  <c r="E203" i="24"/>
  <c r="D203" i="24"/>
  <c r="C203" i="24"/>
  <c r="E202" i="24"/>
  <c r="D202" i="24"/>
  <c r="C202" i="24"/>
  <c r="E201" i="24"/>
  <c r="D201" i="24"/>
  <c r="C201" i="24"/>
  <c r="E195" i="24"/>
  <c r="D195" i="24"/>
  <c r="C195" i="24"/>
  <c r="J195" i="24" s="1"/>
  <c r="U195" i="24" s="1"/>
  <c r="E193" i="24"/>
  <c r="D193" i="24"/>
  <c r="C193" i="24"/>
  <c r="E192" i="24"/>
  <c r="D192" i="24"/>
  <c r="C192" i="24"/>
  <c r="E191" i="24"/>
  <c r="D191" i="24"/>
  <c r="C191" i="24"/>
  <c r="E190" i="24"/>
  <c r="D190" i="24"/>
  <c r="C190" i="24"/>
  <c r="J190" i="24" s="1"/>
  <c r="U190" i="24" s="1"/>
  <c r="E189" i="24"/>
  <c r="D189" i="24"/>
  <c r="C189" i="24"/>
  <c r="J189" i="24" s="1"/>
  <c r="E188" i="24"/>
  <c r="D188" i="24"/>
  <c r="C188" i="24"/>
  <c r="E187" i="24"/>
  <c r="D187" i="24"/>
  <c r="C187" i="24"/>
  <c r="J187" i="24" s="1"/>
  <c r="U187" i="24" s="1"/>
  <c r="E186" i="24"/>
  <c r="D186" i="24"/>
  <c r="C186" i="24"/>
  <c r="J186" i="24" s="1"/>
  <c r="E185" i="24"/>
  <c r="D185" i="24"/>
  <c r="C185" i="24"/>
  <c r="E184" i="24"/>
  <c r="D184" i="24"/>
  <c r="C184" i="24"/>
  <c r="E183" i="24"/>
  <c r="D183" i="24"/>
  <c r="C183" i="24"/>
  <c r="E182" i="24"/>
  <c r="D182" i="24"/>
  <c r="C182" i="24"/>
  <c r="J182" i="24" s="1"/>
  <c r="E181" i="24"/>
  <c r="D181" i="24"/>
  <c r="C181" i="24"/>
  <c r="E180" i="24"/>
  <c r="D180" i="24"/>
  <c r="C180" i="24"/>
  <c r="E179" i="24"/>
  <c r="D179" i="24"/>
  <c r="C179" i="24"/>
  <c r="J179" i="24" s="1"/>
  <c r="U179" i="24" s="1"/>
  <c r="E178" i="24"/>
  <c r="D178" i="24"/>
  <c r="C178" i="24"/>
  <c r="J178" i="24" s="1"/>
  <c r="E177" i="24"/>
  <c r="D177" i="24"/>
  <c r="C177" i="24"/>
  <c r="E176" i="24"/>
  <c r="D176" i="24"/>
  <c r="C176" i="24"/>
  <c r="E170" i="24"/>
  <c r="D170" i="24"/>
  <c r="C170" i="24"/>
  <c r="J170" i="24" s="1"/>
  <c r="U170" i="24" s="1"/>
  <c r="E168" i="24"/>
  <c r="D168" i="24"/>
  <c r="C168" i="24"/>
  <c r="E167" i="24"/>
  <c r="D167" i="24"/>
  <c r="C167" i="24"/>
  <c r="E166" i="24"/>
  <c r="D166" i="24"/>
  <c r="C166" i="24"/>
  <c r="J166" i="24" s="1"/>
  <c r="U166" i="24" s="1"/>
  <c r="E165" i="24"/>
  <c r="D165" i="24"/>
  <c r="C165" i="24"/>
  <c r="J165" i="24" s="1"/>
  <c r="E164" i="24"/>
  <c r="D164" i="24"/>
  <c r="C164" i="24"/>
  <c r="E163" i="24"/>
  <c r="D163" i="24"/>
  <c r="C163" i="24"/>
  <c r="J163" i="24" s="1"/>
  <c r="U163" i="24" s="1"/>
  <c r="E162" i="24"/>
  <c r="D162" i="24"/>
  <c r="C162" i="24"/>
  <c r="J162" i="24" s="1"/>
  <c r="U162" i="24" s="1"/>
  <c r="E161" i="24"/>
  <c r="D161" i="24"/>
  <c r="C161" i="24"/>
  <c r="E160" i="24"/>
  <c r="D160" i="24"/>
  <c r="C160" i="24"/>
  <c r="E159" i="24"/>
  <c r="D159" i="24"/>
  <c r="C159" i="24"/>
  <c r="J159" i="24" s="1"/>
  <c r="U159" i="24" s="1"/>
  <c r="E158" i="24"/>
  <c r="D158" i="24"/>
  <c r="C158" i="24"/>
  <c r="E157" i="24"/>
  <c r="D157" i="24"/>
  <c r="C157" i="24"/>
  <c r="E156" i="24"/>
  <c r="D156" i="24"/>
  <c r="C156" i="24"/>
  <c r="E155" i="24"/>
  <c r="D155" i="24"/>
  <c r="C155" i="24"/>
  <c r="J155" i="24" s="1"/>
  <c r="U155" i="24" s="1"/>
  <c r="E154" i="24"/>
  <c r="D154" i="24"/>
  <c r="C154" i="24"/>
  <c r="E153" i="24"/>
  <c r="D153" i="24"/>
  <c r="C153" i="24"/>
  <c r="E152" i="24"/>
  <c r="D152" i="24"/>
  <c r="C152" i="24"/>
  <c r="E151" i="24"/>
  <c r="D151" i="24"/>
  <c r="C151" i="24"/>
  <c r="J151" i="24" s="1"/>
  <c r="J142" i="24"/>
  <c r="J140" i="24"/>
  <c r="U140" i="24" s="1"/>
  <c r="J136" i="24"/>
  <c r="J128" i="24"/>
  <c r="J127" i="24"/>
  <c r="E120" i="24"/>
  <c r="D120" i="24"/>
  <c r="C120" i="24"/>
  <c r="J120" i="24" s="1"/>
  <c r="U120" i="24" s="1"/>
  <c r="E118" i="24"/>
  <c r="D118" i="24"/>
  <c r="C118" i="24"/>
  <c r="E117" i="24"/>
  <c r="D117" i="24"/>
  <c r="C117" i="24"/>
  <c r="J117" i="24" s="1"/>
  <c r="E116" i="24"/>
  <c r="D116" i="24"/>
  <c r="C116" i="24"/>
  <c r="J116" i="24" s="1"/>
  <c r="U116" i="24" s="1"/>
  <c r="E115" i="24"/>
  <c r="D115" i="24"/>
  <c r="C115" i="24"/>
  <c r="E114" i="24"/>
  <c r="D114" i="24"/>
  <c r="C114" i="24"/>
  <c r="E113" i="24"/>
  <c r="D113" i="24"/>
  <c r="C113" i="24"/>
  <c r="J113" i="24" s="1"/>
  <c r="U113" i="24" s="1"/>
  <c r="E112" i="24"/>
  <c r="D112" i="24"/>
  <c r="C112" i="24"/>
  <c r="J112" i="24" s="1"/>
  <c r="U112" i="24" s="1"/>
  <c r="E111" i="24"/>
  <c r="D111" i="24"/>
  <c r="C111" i="24"/>
  <c r="E110" i="24"/>
  <c r="D110" i="24"/>
  <c r="C110" i="24"/>
  <c r="E109" i="24"/>
  <c r="D109" i="24"/>
  <c r="C109" i="24"/>
  <c r="E108" i="24"/>
  <c r="D108" i="24"/>
  <c r="C108" i="24"/>
  <c r="J108" i="24" s="1"/>
  <c r="E107" i="24"/>
  <c r="D107" i="24"/>
  <c r="C107" i="24"/>
  <c r="E106" i="24"/>
  <c r="D106" i="24"/>
  <c r="C106" i="24"/>
  <c r="E105" i="24"/>
  <c r="D105" i="24"/>
  <c r="C105" i="24"/>
  <c r="J105" i="24" s="1"/>
  <c r="U105" i="24" s="1"/>
  <c r="E104" i="24"/>
  <c r="D104" i="24"/>
  <c r="C104" i="24"/>
  <c r="E103" i="24"/>
  <c r="D103" i="24"/>
  <c r="C103" i="24"/>
  <c r="E102" i="24"/>
  <c r="D102" i="24"/>
  <c r="C102" i="24"/>
  <c r="E101" i="24"/>
  <c r="D101" i="24"/>
  <c r="C101" i="24"/>
  <c r="J101" i="24" s="1"/>
  <c r="E95" i="24"/>
  <c r="D95" i="24"/>
  <c r="C95" i="24"/>
  <c r="E93" i="24"/>
  <c r="D93" i="24"/>
  <c r="C93" i="24"/>
  <c r="E92" i="24"/>
  <c r="D92" i="24"/>
  <c r="C92" i="24"/>
  <c r="J92" i="24" s="1"/>
  <c r="E91" i="24"/>
  <c r="D91" i="24"/>
  <c r="C91" i="24"/>
  <c r="E90" i="24"/>
  <c r="D90" i="24"/>
  <c r="C90" i="24"/>
  <c r="E89" i="24"/>
  <c r="D89" i="24"/>
  <c r="C89" i="24"/>
  <c r="E88" i="24"/>
  <c r="D88" i="24"/>
  <c r="C88" i="24"/>
  <c r="J88" i="24" s="1"/>
  <c r="U88" i="24" s="1"/>
  <c r="E87" i="24"/>
  <c r="D87" i="24"/>
  <c r="C87" i="24"/>
  <c r="J87" i="24" s="1"/>
  <c r="U87" i="24" s="1"/>
  <c r="E86" i="24"/>
  <c r="D86" i="24"/>
  <c r="C86" i="24"/>
  <c r="E85" i="24"/>
  <c r="D85" i="24"/>
  <c r="C85" i="24"/>
  <c r="E84" i="24"/>
  <c r="D84" i="24"/>
  <c r="C84" i="24"/>
  <c r="J84" i="24" s="1"/>
  <c r="U84" i="24" s="1"/>
  <c r="E83" i="24"/>
  <c r="D83" i="24"/>
  <c r="C83" i="24"/>
  <c r="J83" i="24" s="1"/>
  <c r="E82" i="24"/>
  <c r="D82" i="24"/>
  <c r="C82" i="24"/>
  <c r="E81" i="24"/>
  <c r="D81" i="24"/>
  <c r="C81" i="24"/>
  <c r="E80" i="24"/>
  <c r="D80" i="24"/>
  <c r="C80" i="24"/>
  <c r="J80" i="24" s="1"/>
  <c r="U80" i="24" s="1"/>
  <c r="E79" i="24"/>
  <c r="D79" i="24"/>
  <c r="C79" i="24"/>
  <c r="E78" i="24"/>
  <c r="D78" i="24"/>
  <c r="C78" i="24"/>
  <c r="E77" i="24"/>
  <c r="D77" i="24"/>
  <c r="C77" i="24"/>
  <c r="E76" i="24"/>
  <c r="D76" i="24"/>
  <c r="C76" i="24"/>
  <c r="J76" i="24" s="1"/>
  <c r="E70" i="24"/>
  <c r="D70" i="24"/>
  <c r="C70" i="24"/>
  <c r="E68" i="24"/>
  <c r="D68" i="24"/>
  <c r="C68" i="24"/>
  <c r="E67" i="24"/>
  <c r="D67" i="24"/>
  <c r="C67" i="24"/>
  <c r="J67" i="24" s="1"/>
  <c r="E66" i="24"/>
  <c r="D66" i="24"/>
  <c r="C66" i="24"/>
  <c r="J66" i="24" s="1"/>
  <c r="U66" i="24" s="1"/>
  <c r="E65" i="24"/>
  <c r="D65" i="24"/>
  <c r="C65" i="24"/>
  <c r="E64" i="24"/>
  <c r="D64" i="24"/>
  <c r="C64" i="24"/>
  <c r="E63" i="24"/>
  <c r="D63" i="24"/>
  <c r="C63" i="24"/>
  <c r="E62" i="24"/>
  <c r="D62" i="24"/>
  <c r="C62" i="24"/>
  <c r="E61" i="24"/>
  <c r="D61" i="24"/>
  <c r="C61" i="24"/>
  <c r="J61" i="24" s="1"/>
  <c r="E60" i="24"/>
  <c r="D60" i="24"/>
  <c r="C60" i="24"/>
  <c r="J60" i="24" s="1"/>
  <c r="E59" i="24"/>
  <c r="D59" i="24"/>
  <c r="C59" i="24"/>
  <c r="E58" i="24"/>
  <c r="D58" i="24"/>
  <c r="C58" i="24"/>
  <c r="E57" i="24"/>
  <c r="D57" i="24"/>
  <c r="C57" i="24"/>
  <c r="J57" i="24" s="1"/>
  <c r="U57" i="24" s="1"/>
  <c r="E56" i="24"/>
  <c r="D56" i="24"/>
  <c r="C56" i="24"/>
  <c r="J56" i="24" s="1"/>
  <c r="E55" i="24"/>
  <c r="D55" i="24"/>
  <c r="C55" i="24"/>
  <c r="E54" i="24"/>
  <c r="D54" i="24"/>
  <c r="C54" i="24"/>
  <c r="J54" i="24" s="1"/>
  <c r="U54" i="24" s="1"/>
  <c r="E53" i="24"/>
  <c r="D53" i="24"/>
  <c r="C53" i="24"/>
  <c r="J53" i="24" s="1"/>
  <c r="E52" i="24"/>
  <c r="D52" i="24"/>
  <c r="C52" i="24"/>
  <c r="J52" i="24" s="1"/>
  <c r="E51" i="24"/>
  <c r="D51" i="24"/>
  <c r="C51" i="24"/>
  <c r="E46" i="24"/>
  <c r="D46" i="24"/>
  <c r="C46" i="24"/>
  <c r="E44" i="24"/>
  <c r="D44" i="24"/>
  <c r="C44" i="24"/>
  <c r="E43" i="24"/>
  <c r="D43" i="24"/>
  <c r="C43" i="24"/>
  <c r="J43" i="24" s="1"/>
  <c r="E42" i="24"/>
  <c r="D42" i="24"/>
  <c r="C42" i="24"/>
  <c r="J42" i="24" s="1"/>
  <c r="U42" i="24" s="1"/>
  <c r="E41" i="24"/>
  <c r="D41" i="24"/>
  <c r="C41" i="24"/>
  <c r="J41" i="24" s="1"/>
  <c r="E40" i="24"/>
  <c r="D40" i="24"/>
  <c r="C40" i="24"/>
  <c r="E39" i="24"/>
  <c r="D39" i="24"/>
  <c r="C39" i="24"/>
  <c r="J39" i="24" s="1"/>
  <c r="U39" i="24" s="1"/>
  <c r="E38" i="24"/>
  <c r="D38" i="24"/>
  <c r="C38" i="24"/>
  <c r="E37" i="24"/>
  <c r="D37" i="24"/>
  <c r="C37" i="24"/>
  <c r="J37" i="24" s="1"/>
  <c r="E36" i="24"/>
  <c r="D36" i="24"/>
  <c r="C36" i="24"/>
  <c r="E35" i="24"/>
  <c r="D35" i="24"/>
  <c r="C35" i="24"/>
  <c r="J35" i="24" s="1"/>
  <c r="E34" i="24"/>
  <c r="D34" i="24"/>
  <c r="C34" i="24"/>
  <c r="E33" i="24"/>
  <c r="D33" i="24"/>
  <c r="C33" i="24"/>
  <c r="J33" i="24" s="1"/>
  <c r="U33" i="24" s="1"/>
  <c r="E32" i="24"/>
  <c r="D32" i="24"/>
  <c r="C32" i="24"/>
  <c r="E31" i="24"/>
  <c r="D31" i="24"/>
  <c r="C31" i="24"/>
  <c r="J31" i="24" s="1"/>
  <c r="E30" i="24"/>
  <c r="D30" i="24"/>
  <c r="C30" i="24"/>
  <c r="J30" i="24" s="1"/>
  <c r="U30" i="24" s="1"/>
  <c r="E29" i="24"/>
  <c r="D29" i="24"/>
  <c r="C29" i="24"/>
  <c r="J29" i="24" s="1"/>
  <c r="E28" i="24"/>
  <c r="D28" i="24"/>
  <c r="C28" i="24"/>
  <c r="E27" i="24"/>
  <c r="D27" i="24"/>
  <c r="C27" i="24"/>
  <c r="J27" i="24" s="1"/>
  <c r="J15" i="24"/>
  <c r="U15" i="24" s="1"/>
  <c r="J14" i="24"/>
  <c r="U14" i="24" s="1"/>
  <c r="J13" i="24"/>
  <c r="J7" i="24"/>
  <c r="J6" i="24"/>
  <c r="N74" i="22"/>
  <c r="J72" i="22"/>
  <c r="N72" i="22"/>
  <c r="J71" i="22"/>
  <c r="N71" i="22"/>
  <c r="N70" i="22"/>
  <c r="J69" i="22"/>
  <c r="N69" i="22"/>
  <c r="N68" i="22"/>
  <c r="N67" i="22"/>
  <c r="N66" i="22"/>
  <c r="N65" i="22"/>
  <c r="N64" i="22"/>
  <c r="N63" i="22"/>
  <c r="J62" i="22"/>
  <c r="N62" i="22"/>
  <c r="N60" i="22"/>
  <c r="N59" i="22"/>
  <c r="J58" i="22"/>
  <c r="N58" i="22"/>
  <c r="N57" i="22"/>
  <c r="N56" i="22"/>
  <c r="J55" i="22"/>
  <c r="N55" i="22"/>
  <c r="J49" i="22"/>
  <c r="N49" i="22"/>
  <c r="J47" i="22"/>
  <c r="N47" i="22"/>
  <c r="J46" i="22"/>
  <c r="N46" i="22"/>
  <c r="N45" i="22"/>
  <c r="J44" i="22"/>
  <c r="N44" i="22"/>
  <c r="N43" i="22"/>
  <c r="N42" i="22"/>
  <c r="N41" i="22"/>
  <c r="N40" i="22"/>
  <c r="J39" i="22"/>
  <c r="N39" i="22"/>
  <c r="J38" i="22"/>
  <c r="N38" i="22"/>
  <c r="J37" i="22"/>
  <c r="N37" i="22"/>
  <c r="N36" i="22"/>
  <c r="J35" i="22"/>
  <c r="N35" i="22"/>
  <c r="J34" i="22"/>
  <c r="N34" i="22"/>
  <c r="J33" i="22"/>
  <c r="N33" i="22"/>
  <c r="N32" i="22"/>
  <c r="J31" i="22"/>
  <c r="N31" i="22"/>
  <c r="J30" i="22"/>
  <c r="N30" i="22"/>
  <c r="F23" i="22"/>
  <c r="F21" i="22"/>
  <c r="E21" i="22"/>
  <c r="D21" i="22"/>
  <c r="J21" i="22" s="1"/>
  <c r="C21" i="22"/>
  <c r="F20" i="22"/>
  <c r="E20" i="22"/>
  <c r="D20" i="22"/>
  <c r="J20" i="22" s="1"/>
  <c r="C20" i="22"/>
  <c r="F19" i="22"/>
  <c r="E19" i="22"/>
  <c r="D19" i="22"/>
  <c r="J19" i="22" s="1"/>
  <c r="C19" i="22"/>
  <c r="N19" i="22" s="1"/>
  <c r="F18" i="22"/>
  <c r="E18" i="22"/>
  <c r="D18" i="22"/>
  <c r="J18" i="22" s="1"/>
  <c r="C18" i="22"/>
  <c r="F17" i="22"/>
  <c r="E17" i="22"/>
  <c r="D17" i="22"/>
  <c r="C17" i="22"/>
  <c r="F12" i="22"/>
  <c r="E12" i="22"/>
  <c r="D12" i="22"/>
  <c r="J12" i="22" s="1"/>
  <c r="C12" i="22"/>
  <c r="F16" i="22"/>
  <c r="E16" i="22"/>
  <c r="D16" i="22"/>
  <c r="C16" i="22"/>
  <c r="E15" i="22"/>
  <c r="D15" i="22"/>
  <c r="C15" i="22"/>
  <c r="E14" i="22"/>
  <c r="D14" i="22"/>
  <c r="C14" i="22"/>
  <c r="N14" i="22" s="1"/>
  <c r="E13" i="22"/>
  <c r="D13" i="22"/>
  <c r="C13" i="22"/>
  <c r="E11" i="22"/>
  <c r="D11" i="22"/>
  <c r="J11" i="22" s="1"/>
  <c r="C11" i="22"/>
  <c r="E10" i="22"/>
  <c r="D10" i="22"/>
  <c r="C10" i="22"/>
  <c r="F9" i="22"/>
  <c r="E9" i="22"/>
  <c r="D9" i="22"/>
  <c r="J9" i="22" s="1"/>
  <c r="C9" i="22"/>
  <c r="F8" i="22"/>
  <c r="E8" i="22"/>
  <c r="D8" i="22"/>
  <c r="J8" i="22" s="1"/>
  <c r="C8" i="22"/>
  <c r="F7" i="22"/>
  <c r="E7" i="22"/>
  <c r="D7" i="22"/>
  <c r="C7" i="22"/>
  <c r="F5" i="22"/>
  <c r="F6" i="22"/>
  <c r="E6" i="22"/>
  <c r="D6" i="22"/>
  <c r="C6" i="22"/>
  <c r="E5" i="22"/>
  <c r="D5" i="22"/>
  <c r="C5" i="22"/>
  <c r="F4" i="22"/>
  <c r="E4" i="22"/>
  <c r="D4" i="22"/>
  <c r="C4" i="22"/>
  <c r="C23" i="22"/>
  <c r="D23" i="22"/>
  <c r="E23" i="22"/>
  <c r="F10" i="22"/>
  <c r="F11" i="22"/>
  <c r="F13" i="22"/>
  <c r="F14" i="22"/>
  <c r="F15" i="22"/>
  <c r="J18" i="21"/>
  <c r="G18" i="21"/>
  <c r="F18" i="21"/>
  <c r="E18" i="21"/>
  <c r="D18" i="21"/>
  <c r="C18" i="21"/>
  <c r="J17" i="21"/>
  <c r="G17" i="21"/>
  <c r="F17" i="21"/>
  <c r="E17" i="21"/>
  <c r="D17" i="21"/>
  <c r="C17" i="21"/>
  <c r="G15" i="21"/>
  <c r="F15" i="21"/>
  <c r="E15" i="21"/>
  <c r="D15" i="21"/>
  <c r="C15" i="21"/>
  <c r="C5" i="21"/>
  <c r="Z7" i="25"/>
  <c r="Y7" i="25"/>
  <c r="X7" i="25"/>
  <c r="W7" i="25"/>
  <c r="V7" i="25"/>
  <c r="U7" i="25"/>
  <c r="T7" i="25"/>
  <c r="S7" i="25"/>
  <c r="R7" i="25"/>
  <c r="Q7" i="25"/>
  <c r="P7" i="25"/>
  <c r="N7" i="25"/>
  <c r="L7" i="25"/>
  <c r="K7" i="25"/>
  <c r="J7" i="25"/>
  <c r="I7" i="25"/>
  <c r="H7" i="25"/>
  <c r="G7" i="25"/>
  <c r="F7" i="25"/>
  <c r="E7" i="25"/>
  <c r="Z6" i="25"/>
  <c r="Y6" i="25"/>
  <c r="X6" i="25"/>
  <c r="W6" i="25"/>
  <c r="V6" i="25"/>
  <c r="U6" i="25"/>
  <c r="T6" i="25"/>
  <c r="S6" i="25"/>
  <c r="R6" i="25"/>
  <c r="Q6" i="25"/>
  <c r="P6" i="25"/>
  <c r="N6" i="25"/>
  <c r="L6" i="25"/>
  <c r="K6" i="25"/>
  <c r="J6" i="25"/>
  <c r="I6" i="25"/>
  <c r="H6" i="25"/>
  <c r="G6" i="25"/>
  <c r="F6" i="25"/>
  <c r="E6" i="25"/>
  <c r="Z5" i="25"/>
  <c r="Y5" i="25"/>
  <c r="X5" i="25"/>
  <c r="W5" i="25"/>
  <c r="V5" i="25"/>
  <c r="U5" i="25"/>
  <c r="T5" i="25"/>
  <c r="S5" i="25"/>
  <c r="R5" i="25"/>
  <c r="Q5" i="25"/>
  <c r="P5" i="25"/>
  <c r="N5" i="25"/>
  <c r="L5" i="25"/>
  <c r="K5" i="25"/>
  <c r="J5" i="25"/>
  <c r="I5" i="25"/>
  <c r="H5" i="25"/>
  <c r="G5" i="25"/>
  <c r="F5" i="25"/>
  <c r="E5" i="25"/>
  <c r="Z4" i="25"/>
  <c r="Y4" i="25"/>
  <c r="X4" i="25"/>
  <c r="W4" i="25"/>
  <c r="V4" i="25"/>
  <c r="U4" i="25"/>
  <c r="T4" i="25"/>
  <c r="S4" i="25"/>
  <c r="R4" i="25"/>
  <c r="Q4" i="25"/>
  <c r="P4" i="25"/>
  <c r="N4" i="25"/>
  <c r="L4" i="25"/>
  <c r="K4" i="25"/>
  <c r="J4" i="25"/>
  <c r="I4" i="25"/>
  <c r="H4" i="25"/>
  <c r="G4" i="25"/>
  <c r="F4" i="25"/>
  <c r="E4" i="25"/>
  <c r="H26" i="2"/>
  <c r="I5" i="2"/>
  <c r="I6" i="2"/>
  <c r="H6" i="2"/>
  <c r="H5" i="2"/>
  <c r="H33" i="2"/>
  <c r="H32" i="2"/>
  <c r="H31" i="2"/>
  <c r="H30" i="2"/>
  <c r="H28" i="2"/>
  <c r="H27" i="2"/>
  <c r="H23" i="2"/>
  <c r="H22" i="2"/>
  <c r="H21" i="2"/>
  <c r="H20" i="2"/>
  <c r="I17" i="2"/>
  <c r="I16" i="2"/>
  <c r="I15" i="2"/>
  <c r="I14" i="2"/>
  <c r="I11" i="2"/>
  <c r="I10" i="2"/>
  <c r="I9" i="2"/>
  <c r="I8" i="2"/>
  <c r="I4" i="2"/>
  <c r="G4" i="2"/>
  <c r="H4" i="2"/>
  <c r="G5" i="2"/>
  <c r="J16" i="21"/>
  <c r="G16" i="21"/>
  <c r="F16" i="21"/>
  <c r="E16" i="21"/>
  <c r="D16" i="21"/>
  <c r="C16" i="21"/>
  <c r="J14" i="21"/>
  <c r="G14" i="21"/>
  <c r="F14" i="21"/>
  <c r="E14" i="21"/>
  <c r="D14" i="21"/>
  <c r="C14" i="21"/>
  <c r="J13" i="21"/>
  <c r="G13" i="21"/>
  <c r="F13" i="21"/>
  <c r="E13" i="21"/>
  <c r="D13" i="21"/>
  <c r="C13" i="21"/>
  <c r="J12" i="21"/>
  <c r="G12" i="21"/>
  <c r="F12" i="21"/>
  <c r="E12" i="21"/>
  <c r="D12" i="21"/>
  <c r="C12" i="21"/>
  <c r="J11" i="21"/>
  <c r="G11" i="21"/>
  <c r="F11" i="21"/>
  <c r="E11" i="21"/>
  <c r="D11" i="21"/>
  <c r="C11" i="21"/>
  <c r="J10" i="21"/>
  <c r="G10" i="21"/>
  <c r="F10" i="21"/>
  <c r="E10" i="21"/>
  <c r="D10" i="21"/>
  <c r="C10" i="21"/>
  <c r="J5" i="21"/>
  <c r="G5" i="21"/>
  <c r="F5" i="21"/>
  <c r="E5" i="21"/>
  <c r="D5" i="21"/>
  <c r="J4" i="21"/>
  <c r="F4" i="21"/>
  <c r="E4" i="21"/>
  <c r="D4" i="21"/>
  <c r="C4" i="21"/>
  <c r="C21" i="31"/>
  <c r="B21" i="31" s="1"/>
  <c r="J29" i="21"/>
  <c r="G29" i="21"/>
  <c r="F29" i="21"/>
  <c r="E29" i="21"/>
  <c r="D29" i="21"/>
  <c r="C29" i="21"/>
  <c r="J15" i="21"/>
  <c r="N28" i="24" l="1"/>
  <c r="N54" i="24"/>
  <c r="R58" i="22"/>
  <c r="R33" i="22"/>
  <c r="R31" i="22"/>
  <c r="R35" i="22"/>
  <c r="R40" i="22"/>
  <c r="R46" i="22"/>
  <c r="R62" i="22"/>
  <c r="R68" i="22"/>
  <c r="R37" i="22"/>
  <c r="R43" i="22"/>
  <c r="R60" i="22"/>
  <c r="R65" i="22"/>
  <c r="R71" i="22"/>
  <c r="P21" i="29"/>
  <c r="U29" i="24"/>
  <c r="N32" i="24"/>
  <c r="U43" i="24"/>
  <c r="U76" i="24"/>
  <c r="U92" i="24"/>
  <c r="U108" i="24"/>
  <c r="U128" i="24"/>
  <c r="U136" i="24"/>
  <c r="U142" i="24"/>
  <c r="U186" i="24"/>
  <c r="U228" i="24"/>
  <c r="U236" i="24"/>
  <c r="N236" i="24"/>
  <c r="U257" i="24"/>
  <c r="U277" i="24"/>
  <c r="U285" i="24"/>
  <c r="U307" i="24"/>
  <c r="N341" i="24"/>
  <c r="U13" i="24"/>
  <c r="N13" i="24"/>
  <c r="U53" i="24"/>
  <c r="U61" i="24"/>
  <c r="U67" i="24"/>
  <c r="U101" i="24"/>
  <c r="U117" i="24"/>
  <c r="U127" i="24"/>
  <c r="U151" i="24"/>
  <c r="U233" i="24"/>
  <c r="U266" i="24"/>
  <c r="U310" i="24"/>
  <c r="U332" i="24"/>
  <c r="U338" i="24"/>
  <c r="N21" i="29"/>
  <c r="L17" i="21"/>
  <c r="M17" i="21" s="1"/>
  <c r="K13" i="21"/>
  <c r="L13" i="21"/>
  <c r="M13" i="21" s="1"/>
  <c r="K12" i="21"/>
  <c r="L12" i="21"/>
  <c r="M12" i="21" s="1"/>
  <c r="K11" i="21"/>
  <c r="L18" i="21"/>
  <c r="M18" i="21" s="1"/>
  <c r="E21" i="29"/>
  <c r="L21" i="29"/>
  <c r="K294" i="24"/>
  <c r="V294" i="24" s="1"/>
  <c r="W294" i="24" s="1"/>
  <c r="K257" i="24"/>
  <c r="L257" i="24" s="1"/>
  <c r="E73" i="22"/>
  <c r="E75" i="22" s="1"/>
  <c r="F88" i="22"/>
  <c r="F96" i="22"/>
  <c r="J21" i="29"/>
  <c r="B15" i="29"/>
  <c r="D15" i="29" s="1"/>
  <c r="H21" i="29"/>
  <c r="K21" i="29"/>
  <c r="F21" i="29"/>
  <c r="O21" i="29"/>
  <c r="I21" i="29"/>
  <c r="B7" i="29"/>
  <c r="B4" i="29"/>
  <c r="D4" i="29" s="1"/>
  <c r="B5" i="29"/>
  <c r="B13" i="29"/>
  <c r="X66" i="22"/>
  <c r="B9" i="29"/>
  <c r="B6" i="29"/>
  <c r="B14" i="29"/>
  <c r="G21" i="29"/>
  <c r="M21" i="29"/>
  <c r="Q15" i="29"/>
  <c r="S15" i="29" s="1"/>
  <c r="B8" i="29"/>
  <c r="B10" i="29"/>
  <c r="B11" i="29"/>
  <c r="B17" i="29"/>
  <c r="B16" i="29"/>
  <c r="B20" i="29"/>
  <c r="B12" i="29"/>
  <c r="B18" i="29"/>
  <c r="B19" i="29"/>
  <c r="J66" i="22"/>
  <c r="K202" i="24"/>
  <c r="K206" i="24"/>
  <c r="V206" i="24" s="1"/>
  <c r="K208" i="24"/>
  <c r="K210" i="24"/>
  <c r="V210" i="24" s="1"/>
  <c r="K212" i="24"/>
  <c r="V212" i="24" s="1"/>
  <c r="K214" i="24"/>
  <c r="K218" i="24"/>
  <c r="V218" i="24" s="1"/>
  <c r="F343" i="24"/>
  <c r="F345" i="24" s="1"/>
  <c r="K28" i="24"/>
  <c r="K32" i="24"/>
  <c r="V32" i="24" s="1"/>
  <c r="K34" i="24"/>
  <c r="K36" i="24"/>
  <c r="V36" i="24" s="1"/>
  <c r="K40" i="24"/>
  <c r="K44" i="24"/>
  <c r="V44" i="24" s="1"/>
  <c r="K51" i="24"/>
  <c r="K65" i="24"/>
  <c r="V65" i="24" s="1"/>
  <c r="F194" i="24"/>
  <c r="F196" i="24" s="1"/>
  <c r="K181" i="24"/>
  <c r="V181" i="24" s="1"/>
  <c r="K183" i="24"/>
  <c r="K185" i="24"/>
  <c r="V185" i="24" s="1"/>
  <c r="K193" i="24"/>
  <c r="V193" i="24" s="1"/>
  <c r="C89" i="22"/>
  <c r="N89" i="22" s="1"/>
  <c r="D268" i="24"/>
  <c r="D270" i="24" s="1"/>
  <c r="D293" i="24"/>
  <c r="D295" i="24" s="1"/>
  <c r="E82" i="22"/>
  <c r="E90" i="22"/>
  <c r="E194" i="24"/>
  <c r="E196" i="24" s="1"/>
  <c r="K29" i="24"/>
  <c r="K41" i="24"/>
  <c r="V41" i="24" s="1"/>
  <c r="K43" i="24"/>
  <c r="K46" i="24"/>
  <c r="V46" i="24" s="1"/>
  <c r="E169" i="24"/>
  <c r="E171" i="24" s="1"/>
  <c r="E92" i="22"/>
  <c r="E89" i="22"/>
  <c r="K152" i="24"/>
  <c r="K154" i="24"/>
  <c r="V154" i="24" s="1"/>
  <c r="K156" i="24"/>
  <c r="V156" i="24" s="1"/>
  <c r="K160" i="24"/>
  <c r="V160" i="24" s="1"/>
  <c r="K164" i="24"/>
  <c r="K168" i="24"/>
  <c r="V168" i="24" s="1"/>
  <c r="K327" i="24"/>
  <c r="K341" i="24"/>
  <c r="K260" i="24"/>
  <c r="E93" i="22"/>
  <c r="E97" i="22"/>
  <c r="K134" i="24"/>
  <c r="V134" i="24" s="1"/>
  <c r="K145" i="24"/>
  <c r="V145" i="24" s="1"/>
  <c r="D90" i="22"/>
  <c r="J90" i="22" s="1"/>
  <c r="F93" i="22"/>
  <c r="F95" i="22"/>
  <c r="D45" i="24"/>
  <c r="D47" i="24" s="1"/>
  <c r="D355" i="24"/>
  <c r="D357" i="24"/>
  <c r="D365" i="24"/>
  <c r="K77" i="24"/>
  <c r="K79" i="24"/>
  <c r="V79" i="24" s="1"/>
  <c r="K81" i="24"/>
  <c r="V81" i="24" s="1"/>
  <c r="K85" i="24"/>
  <c r="V85" i="24" s="1"/>
  <c r="K89" i="24"/>
  <c r="K91" i="24"/>
  <c r="V91" i="24" s="1"/>
  <c r="K93" i="24"/>
  <c r="V93" i="24" s="1"/>
  <c r="F268" i="24"/>
  <c r="F270" i="24" s="1"/>
  <c r="K306" i="24"/>
  <c r="V306" i="24" s="1"/>
  <c r="W306" i="24" s="1"/>
  <c r="K308" i="24"/>
  <c r="V308" i="24" s="1"/>
  <c r="K319" i="24"/>
  <c r="V319" i="24" s="1"/>
  <c r="W319" i="24" s="1"/>
  <c r="F87" i="22"/>
  <c r="C88" i="22"/>
  <c r="N88" i="22" s="1"/>
  <c r="C94" i="22"/>
  <c r="N94" i="22" s="1"/>
  <c r="E45" i="24"/>
  <c r="E47" i="24" s="1"/>
  <c r="E69" i="24"/>
  <c r="E71" i="24" s="1"/>
  <c r="F144" i="24"/>
  <c r="F146" i="24" s="1"/>
  <c r="D244" i="24"/>
  <c r="D246" i="24" s="1"/>
  <c r="K245" i="24"/>
  <c r="V245" i="24" s="1"/>
  <c r="W245" i="24" s="1"/>
  <c r="F318" i="24"/>
  <c r="F320" i="24" s="1"/>
  <c r="K76" i="24"/>
  <c r="K88" i="24"/>
  <c r="V88" i="24" s="1"/>
  <c r="W88" i="24" s="1"/>
  <c r="K329" i="24"/>
  <c r="V329" i="24" s="1"/>
  <c r="W329" i="24" s="1"/>
  <c r="K339" i="24"/>
  <c r="V339" i="24" s="1"/>
  <c r="W339" i="24" s="1"/>
  <c r="F86" i="22"/>
  <c r="C81" i="22"/>
  <c r="N81" i="22" s="1"/>
  <c r="C86" i="22"/>
  <c r="N86" i="22" s="1"/>
  <c r="K129" i="24"/>
  <c r="V129" i="24" s="1"/>
  <c r="K133" i="24"/>
  <c r="K135" i="24"/>
  <c r="V135" i="24" s="1"/>
  <c r="K137" i="24"/>
  <c r="V137" i="24" s="1"/>
  <c r="K141" i="24"/>
  <c r="V141" i="24" s="1"/>
  <c r="K90" i="24"/>
  <c r="V90" i="24" s="1"/>
  <c r="K331" i="24"/>
  <c r="V331" i="24" s="1"/>
  <c r="K337" i="24"/>
  <c r="V337" i="24" s="1"/>
  <c r="W337" i="24" s="1"/>
  <c r="K138" i="24"/>
  <c r="V138" i="24" s="1"/>
  <c r="E99" i="22"/>
  <c r="E88" i="22"/>
  <c r="E94" i="22"/>
  <c r="E96" i="22"/>
  <c r="X44" i="22"/>
  <c r="D95" i="22"/>
  <c r="J95" i="22" s="1"/>
  <c r="X63" i="22"/>
  <c r="X65" i="22"/>
  <c r="X67" i="22"/>
  <c r="X74" i="22"/>
  <c r="F21" i="24"/>
  <c r="F23" i="24" s="1"/>
  <c r="F356" i="24"/>
  <c r="K33" i="24"/>
  <c r="V33" i="24" s="1"/>
  <c r="W33" i="24" s="1"/>
  <c r="K58" i="24"/>
  <c r="K64" i="24"/>
  <c r="K68" i="24"/>
  <c r="V68" i="24" s="1"/>
  <c r="E119" i="24"/>
  <c r="E121" i="24" s="1"/>
  <c r="F219" i="24"/>
  <c r="F221" i="24" s="1"/>
  <c r="K61" i="24"/>
  <c r="E362" i="24"/>
  <c r="K132" i="24"/>
  <c r="V132" i="24" s="1"/>
  <c r="K140" i="24"/>
  <c r="V140" i="24" s="1"/>
  <c r="W140" i="24" s="1"/>
  <c r="K142" i="24"/>
  <c r="K155" i="24"/>
  <c r="V155" i="24" s="1"/>
  <c r="W155" i="24" s="1"/>
  <c r="K163" i="24"/>
  <c r="V163" i="24" s="1"/>
  <c r="W163" i="24" s="1"/>
  <c r="K55" i="24"/>
  <c r="V55" i="24" s="1"/>
  <c r="K63" i="24"/>
  <c r="V63" i="24" s="1"/>
  <c r="F364" i="24"/>
  <c r="J212" i="24"/>
  <c r="U212" i="24" s="1"/>
  <c r="E87" i="22"/>
  <c r="F358" i="24"/>
  <c r="E81" i="22"/>
  <c r="E83" i="22"/>
  <c r="E85" i="22"/>
  <c r="E91" i="22"/>
  <c r="F73" i="22"/>
  <c r="F75" i="22" s="1"/>
  <c r="X57" i="22"/>
  <c r="X59" i="22"/>
  <c r="X61" i="22"/>
  <c r="X69" i="22"/>
  <c r="X71" i="22"/>
  <c r="E21" i="24"/>
  <c r="E23" i="24" s="1"/>
  <c r="E353" i="24"/>
  <c r="E359" i="24"/>
  <c r="J65" i="24"/>
  <c r="K116" i="24"/>
  <c r="V116" i="24" s="1"/>
  <c r="W116" i="24" s="1"/>
  <c r="J135" i="24"/>
  <c r="U135" i="24" s="1"/>
  <c r="K162" i="24"/>
  <c r="V162" i="24" s="1"/>
  <c r="W162" i="24" s="1"/>
  <c r="K59" i="24"/>
  <c r="V59" i="24" s="1"/>
  <c r="K70" i="24"/>
  <c r="V70" i="24" s="1"/>
  <c r="K136" i="24"/>
  <c r="F89" i="22"/>
  <c r="K57" i="24"/>
  <c r="L57" i="24" s="1"/>
  <c r="K282" i="24"/>
  <c r="K290" i="24"/>
  <c r="V290" i="24" s="1"/>
  <c r="W290" i="24" s="1"/>
  <c r="D91" i="22"/>
  <c r="C96" i="22"/>
  <c r="N96" i="22" s="1"/>
  <c r="E84" i="22"/>
  <c r="D80" i="22"/>
  <c r="J80" i="22" s="1"/>
  <c r="F83" i="22"/>
  <c r="F85" i="22"/>
  <c r="C92" i="22"/>
  <c r="N92" i="22" s="1"/>
  <c r="C97" i="22"/>
  <c r="N97" i="22" s="1"/>
  <c r="E80" i="22"/>
  <c r="J65" i="22"/>
  <c r="D85" i="22"/>
  <c r="J85" i="22" s="1"/>
  <c r="F357" i="24"/>
  <c r="F363" i="24"/>
  <c r="D69" i="24"/>
  <c r="D71" i="24" s="1"/>
  <c r="D363" i="24"/>
  <c r="F119" i="24"/>
  <c r="F121" i="24" s="1"/>
  <c r="F355" i="24"/>
  <c r="F365" i="24"/>
  <c r="K203" i="24"/>
  <c r="K205" i="24"/>
  <c r="V205" i="24" s="1"/>
  <c r="K227" i="24"/>
  <c r="K231" i="24"/>
  <c r="V231" i="24" s="1"/>
  <c r="K233" i="24"/>
  <c r="K237" i="24"/>
  <c r="V237" i="24" s="1"/>
  <c r="W237" i="24" s="1"/>
  <c r="K239" i="24"/>
  <c r="K241" i="24"/>
  <c r="V241" i="24" s="1"/>
  <c r="W241" i="24" s="1"/>
  <c r="K243" i="24"/>
  <c r="V243" i="24" s="1"/>
  <c r="K261" i="24"/>
  <c r="V261" i="24" s="1"/>
  <c r="W261" i="24" s="1"/>
  <c r="K251" i="24"/>
  <c r="K263" i="24"/>
  <c r="F81" i="22"/>
  <c r="K53" i="24"/>
  <c r="E352" i="24"/>
  <c r="K17" i="21"/>
  <c r="K328" i="24"/>
  <c r="V328" i="24" s="1"/>
  <c r="W328" i="24" s="1"/>
  <c r="D83" i="22"/>
  <c r="J83" i="22" s="1"/>
  <c r="K311" i="24"/>
  <c r="V311" i="24" s="1"/>
  <c r="W311" i="24" s="1"/>
  <c r="F91" i="22"/>
  <c r="C80" i="22"/>
  <c r="N80" i="22" s="1"/>
  <c r="D82" i="22"/>
  <c r="J82" i="22" s="1"/>
  <c r="D92" i="22"/>
  <c r="J92" i="22" s="1"/>
  <c r="F80" i="22"/>
  <c r="X40" i="22"/>
  <c r="F94" i="22"/>
  <c r="X46" i="22"/>
  <c r="X56" i="22"/>
  <c r="X60" i="22"/>
  <c r="D97" i="22"/>
  <c r="J97" i="22" s="1"/>
  <c r="C352" i="24"/>
  <c r="J352" i="24" s="1"/>
  <c r="C356" i="24"/>
  <c r="J356" i="24" s="1"/>
  <c r="U356" i="24" s="1"/>
  <c r="C358" i="24"/>
  <c r="J358" i="24" s="1"/>
  <c r="U358" i="24" s="1"/>
  <c r="C364" i="24"/>
  <c r="J364" i="24" s="1"/>
  <c r="U364" i="24" s="1"/>
  <c r="C366" i="24"/>
  <c r="J366" i="24" s="1"/>
  <c r="C369" i="24"/>
  <c r="J369" i="24" s="1"/>
  <c r="U369" i="24" s="1"/>
  <c r="K37" i="24"/>
  <c r="K67" i="24"/>
  <c r="K103" i="24"/>
  <c r="K107" i="24"/>
  <c r="V107" i="24" s="1"/>
  <c r="K109" i="24"/>
  <c r="V109" i="24" s="1"/>
  <c r="K111" i="24"/>
  <c r="K115" i="24"/>
  <c r="V115" i="24" s="1"/>
  <c r="K166" i="24"/>
  <c r="V166" i="24" s="1"/>
  <c r="W166" i="24" s="1"/>
  <c r="K182" i="24"/>
  <c r="V182" i="24" s="1"/>
  <c r="K201" i="24"/>
  <c r="K207" i="24"/>
  <c r="V207" i="24" s="1"/>
  <c r="W207" i="24" s="1"/>
  <c r="K209" i="24"/>
  <c r="V209" i="24" s="1"/>
  <c r="K213" i="24"/>
  <c r="V213" i="24" s="1"/>
  <c r="K220" i="24"/>
  <c r="V220" i="24" s="1"/>
  <c r="W220" i="24" s="1"/>
  <c r="F244" i="24"/>
  <c r="F246" i="24" s="1"/>
  <c r="K300" i="24"/>
  <c r="K304" i="24"/>
  <c r="V304" i="24" s="1"/>
  <c r="K312" i="24"/>
  <c r="V312" i="24" s="1"/>
  <c r="K316" i="24"/>
  <c r="E360" i="24"/>
  <c r="K161" i="24"/>
  <c r="K167" i="24"/>
  <c r="E268" i="24"/>
  <c r="E270" i="24" s="1"/>
  <c r="F97" i="22"/>
  <c r="N61" i="22"/>
  <c r="R56" i="22" s="1"/>
  <c r="E369" i="24"/>
  <c r="F366" i="24"/>
  <c r="D81" i="22"/>
  <c r="J81" i="22" s="1"/>
  <c r="K112" i="24"/>
  <c r="V112" i="24" s="1"/>
  <c r="W112" i="24" s="1"/>
  <c r="E95" i="22"/>
  <c r="D356" i="24"/>
  <c r="D358" i="24"/>
  <c r="D366" i="24"/>
  <c r="F45" i="24"/>
  <c r="F47" i="24" s="1"/>
  <c r="D119" i="24"/>
  <c r="D121" i="24" s="1"/>
  <c r="D194" i="24"/>
  <c r="D196" i="24" s="1"/>
  <c r="K232" i="24"/>
  <c r="V232" i="24" s="1"/>
  <c r="K234" i="24"/>
  <c r="V234" i="24" s="1"/>
  <c r="K242" i="24"/>
  <c r="K250" i="24"/>
  <c r="K277" i="24"/>
  <c r="K279" i="24"/>
  <c r="V279" i="24" s="1"/>
  <c r="K281" i="24"/>
  <c r="V281" i="24" s="1"/>
  <c r="W281" i="24" s="1"/>
  <c r="K283" i="24"/>
  <c r="V283" i="24" s="1"/>
  <c r="K285" i="24"/>
  <c r="K287" i="24"/>
  <c r="V287" i="24" s="1"/>
  <c r="K289" i="24"/>
  <c r="L289" i="24" s="1"/>
  <c r="K291" i="24"/>
  <c r="D318" i="24"/>
  <c r="D320" i="24" s="1"/>
  <c r="O15" i="22"/>
  <c r="C91" i="22"/>
  <c r="N91" i="22" s="1"/>
  <c r="J62" i="24"/>
  <c r="U62" i="24" s="1"/>
  <c r="K62" i="24"/>
  <c r="V62" i="24" s="1"/>
  <c r="E343" i="24"/>
  <c r="E345" i="24" s="1"/>
  <c r="F48" i="22"/>
  <c r="F50" i="22" s="1"/>
  <c r="D21" i="24"/>
  <c r="D350" i="24"/>
  <c r="D369" i="24"/>
  <c r="K278" i="24"/>
  <c r="V278" i="24" s="1"/>
  <c r="E367" i="24"/>
  <c r="E350" i="24"/>
  <c r="E358" i="24"/>
  <c r="E364" i="24"/>
  <c r="E366" i="24"/>
  <c r="K178" i="24"/>
  <c r="K186" i="24"/>
  <c r="K192" i="24"/>
  <c r="C354" i="24"/>
  <c r="B20" i="26"/>
  <c r="G20" i="26" s="1"/>
  <c r="K284" i="24"/>
  <c r="V284" i="24" s="1"/>
  <c r="K292" i="24"/>
  <c r="V292" i="24" s="1"/>
  <c r="C359" i="24"/>
  <c r="E351" i="24"/>
  <c r="K38" i="24"/>
  <c r="V38" i="24" s="1"/>
  <c r="J38" i="24"/>
  <c r="U38" i="24" s="1"/>
  <c r="J158" i="24"/>
  <c r="K158" i="24"/>
  <c r="K188" i="24"/>
  <c r="V188" i="24" s="1"/>
  <c r="AB6" i="22"/>
  <c r="C82" i="22"/>
  <c r="N82" i="22" s="1"/>
  <c r="J139" i="24"/>
  <c r="K139" i="24"/>
  <c r="K228" i="24"/>
  <c r="X64" i="22"/>
  <c r="J64" i="22"/>
  <c r="AB9" i="22"/>
  <c r="C85" i="22"/>
  <c r="N85" i="22" s="1"/>
  <c r="C360" i="24"/>
  <c r="D364" i="24"/>
  <c r="D96" i="22"/>
  <c r="J96" i="22" s="1"/>
  <c r="D354" i="24"/>
  <c r="D362" i="24"/>
  <c r="K280" i="24"/>
  <c r="V280" i="24" s="1"/>
  <c r="K288" i="24"/>
  <c r="J23" i="22"/>
  <c r="D99" i="22"/>
  <c r="J99" i="22" s="1"/>
  <c r="E356" i="24"/>
  <c r="K190" i="24"/>
  <c r="V190" i="24" s="1"/>
  <c r="W190" i="24" s="1"/>
  <c r="N23" i="22"/>
  <c r="C99" i="22"/>
  <c r="N99" i="22" s="1"/>
  <c r="X13" i="22"/>
  <c r="D89" i="22"/>
  <c r="J89" i="22" s="1"/>
  <c r="J131" i="24"/>
  <c r="U131" i="24" s="1"/>
  <c r="K131" i="24"/>
  <c r="V131" i="24" s="1"/>
  <c r="C353" i="24"/>
  <c r="X70" i="22"/>
  <c r="J70" i="22"/>
  <c r="J109" i="24"/>
  <c r="U109" i="24" s="1"/>
  <c r="K105" i="24"/>
  <c r="V105" i="24" s="1"/>
  <c r="W105" i="24" s="1"/>
  <c r="K117" i="24"/>
  <c r="J177" i="24"/>
  <c r="K177" i="24"/>
  <c r="F90" i="22"/>
  <c r="X72" i="22"/>
  <c r="D88" i="22"/>
  <c r="D351" i="24"/>
  <c r="D353" i="24"/>
  <c r="D359" i="24"/>
  <c r="D361" i="24"/>
  <c r="D367" i="24"/>
  <c r="K187" i="24"/>
  <c r="V187" i="24" s="1"/>
  <c r="W187" i="24" s="1"/>
  <c r="K252" i="24"/>
  <c r="K254" i="24"/>
  <c r="V254" i="24" s="1"/>
  <c r="K256" i="24"/>
  <c r="V256" i="24" s="1"/>
  <c r="K258" i="24"/>
  <c r="V258" i="24" s="1"/>
  <c r="W258" i="24" s="1"/>
  <c r="K262" i="24"/>
  <c r="L262" i="24" s="1"/>
  <c r="K264" i="24"/>
  <c r="V264" i="24" s="1"/>
  <c r="K266" i="24"/>
  <c r="K269" i="24"/>
  <c r="V269" i="24" s="1"/>
  <c r="W269" i="24" s="1"/>
  <c r="J314" i="24"/>
  <c r="U314" i="24" s="1"/>
  <c r="K314" i="24"/>
  <c r="V314" i="24" s="1"/>
  <c r="C367" i="24"/>
  <c r="C351" i="24"/>
  <c r="AB7" i="22"/>
  <c r="C83" i="22"/>
  <c r="N83" i="22" s="1"/>
  <c r="C21" i="24"/>
  <c r="C350" i="24"/>
  <c r="J350" i="24" s="1"/>
  <c r="D352" i="24"/>
  <c r="D360" i="24"/>
  <c r="K184" i="24"/>
  <c r="V184" i="24" s="1"/>
  <c r="K195" i="24"/>
  <c r="V195" i="24" s="1"/>
  <c r="W195" i="24" s="1"/>
  <c r="AB17" i="22"/>
  <c r="C93" i="22"/>
  <c r="N93" i="22" s="1"/>
  <c r="C87" i="22"/>
  <c r="N87" i="22" s="1"/>
  <c r="D94" i="22"/>
  <c r="J94" i="22" s="1"/>
  <c r="F350" i="24"/>
  <c r="F352" i="24"/>
  <c r="F354" i="24"/>
  <c r="F360" i="24"/>
  <c r="F362" i="24"/>
  <c r="F369" i="24"/>
  <c r="K87" i="24"/>
  <c r="V87" i="24" s="1"/>
  <c r="W87" i="24" s="1"/>
  <c r="K230" i="24"/>
  <c r="V230" i="24" s="1"/>
  <c r="K238" i="24"/>
  <c r="V238" i="24" s="1"/>
  <c r="X68" i="22"/>
  <c r="J68" i="22"/>
  <c r="K120" i="24"/>
  <c r="V120" i="24" s="1"/>
  <c r="W120" i="24" s="1"/>
  <c r="J191" i="24"/>
  <c r="U191" i="24" s="1"/>
  <c r="K191" i="24"/>
  <c r="V191" i="24" s="1"/>
  <c r="H18" i="2"/>
  <c r="H24" i="2"/>
  <c r="F82" i="22"/>
  <c r="E86" i="22"/>
  <c r="F92" i="22"/>
  <c r="X32" i="22"/>
  <c r="X36" i="22"/>
  <c r="X42" i="22"/>
  <c r="J42" i="22"/>
  <c r="D87" i="22"/>
  <c r="J87" i="22" s="1"/>
  <c r="E355" i="24"/>
  <c r="E357" i="24"/>
  <c r="E363" i="24"/>
  <c r="E365" i="24"/>
  <c r="K216" i="24"/>
  <c r="V216" i="24" s="1"/>
  <c r="J216" i="24"/>
  <c r="U216" i="24" s="1"/>
  <c r="K235" i="24"/>
  <c r="V235" i="24" s="1"/>
  <c r="J325" i="24"/>
  <c r="C343" i="24"/>
  <c r="J343" i="24" s="1"/>
  <c r="K333" i="24"/>
  <c r="V333" i="24" s="1"/>
  <c r="W333" i="24" s="1"/>
  <c r="K335" i="24"/>
  <c r="K344" i="24"/>
  <c r="V344" i="24" s="1"/>
  <c r="C362" i="24"/>
  <c r="J362" i="24" s="1"/>
  <c r="U362" i="24" s="1"/>
  <c r="E354" i="24"/>
  <c r="J143" i="24"/>
  <c r="U143" i="24" s="1"/>
  <c r="K143" i="24"/>
  <c r="V143" i="24" s="1"/>
  <c r="J154" i="24"/>
  <c r="U154" i="24" s="1"/>
  <c r="E361" i="24"/>
  <c r="D93" i="22"/>
  <c r="J93" i="22" s="1"/>
  <c r="C355" i="24"/>
  <c r="J355" i="24" s="1"/>
  <c r="U355" i="24" s="1"/>
  <c r="C357" i="24"/>
  <c r="J357" i="24" s="1"/>
  <c r="C363" i="24"/>
  <c r="J363" i="24" s="1"/>
  <c r="C365" i="24"/>
  <c r="J365" i="24" s="1"/>
  <c r="U365" i="24" s="1"/>
  <c r="F84" i="22"/>
  <c r="F99" i="22"/>
  <c r="C95" i="22"/>
  <c r="N95" i="22" s="1"/>
  <c r="D86" i="22"/>
  <c r="J86" i="22" s="1"/>
  <c r="F351" i="24"/>
  <c r="F353" i="24"/>
  <c r="F359" i="24"/>
  <c r="F361" i="24"/>
  <c r="F367" i="24"/>
  <c r="K78" i="24"/>
  <c r="K82" i="24"/>
  <c r="V82" i="24" s="1"/>
  <c r="K84" i="24"/>
  <c r="V84" i="24" s="1"/>
  <c r="W84" i="24" s="1"/>
  <c r="K95" i="24"/>
  <c r="V95" i="24" s="1"/>
  <c r="K113" i="24"/>
  <c r="V113" i="24" s="1"/>
  <c r="W113" i="24" s="1"/>
  <c r="K165" i="24"/>
  <c r="V165" i="24" s="1"/>
  <c r="K170" i="24"/>
  <c r="V170" i="24" s="1"/>
  <c r="W170" i="24" s="1"/>
  <c r="J232" i="24"/>
  <c r="U232" i="24" s="1"/>
  <c r="K276" i="24"/>
  <c r="J286" i="24"/>
  <c r="U286" i="24" s="1"/>
  <c r="K286" i="24"/>
  <c r="V286" i="24" s="1"/>
  <c r="C361" i="24"/>
  <c r="I18" i="2"/>
  <c r="I24" i="2"/>
  <c r="I29" i="2"/>
  <c r="I34" i="2" s="1"/>
  <c r="O8" i="22"/>
  <c r="K10" i="22"/>
  <c r="J74" i="22"/>
  <c r="D84" i="22"/>
  <c r="D94" i="24"/>
  <c r="D96" i="24" s="1"/>
  <c r="E144" i="24"/>
  <c r="E146" i="24" s="1"/>
  <c r="J203" i="24"/>
  <c r="D219" i="24"/>
  <c r="D221" i="24" s="1"/>
  <c r="E244" i="24"/>
  <c r="E246" i="24" s="1"/>
  <c r="K236" i="24"/>
  <c r="K240" i="24"/>
  <c r="V240" i="24" s="1"/>
  <c r="W240" i="24" s="1"/>
  <c r="K253" i="24"/>
  <c r="V253" i="24" s="1"/>
  <c r="K255" i="24"/>
  <c r="V255" i="24" s="1"/>
  <c r="K259" i="24"/>
  <c r="V259" i="24" s="1"/>
  <c r="K265" i="24"/>
  <c r="V265" i="24" s="1"/>
  <c r="W265" i="24" s="1"/>
  <c r="K267" i="24"/>
  <c r="V267" i="24" s="1"/>
  <c r="K275" i="24"/>
  <c r="E318" i="24"/>
  <c r="E320" i="24" s="1"/>
  <c r="K326" i="24"/>
  <c r="K330" i="24"/>
  <c r="V330" i="24" s="1"/>
  <c r="K332" i="24"/>
  <c r="K334" i="24"/>
  <c r="V334" i="24" s="1"/>
  <c r="K340" i="24"/>
  <c r="V340" i="24" s="1"/>
  <c r="K342" i="24"/>
  <c r="V342" i="24" s="1"/>
  <c r="W342" i="24" s="1"/>
  <c r="X47" i="22"/>
  <c r="X41" i="22"/>
  <c r="X43" i="22"/>
  <c r="X45" i="22"/>
  <c r="J67" i="22"/>
  <c r="C84" i="22"/>
  <c r="N84" i="22" s="1"/>
  <c r="K39" i="24"/>
  <c r="V39" i="24" s="1"/>
  <c r="W39" i="24" s="1"/>
  <c r="F69" i="24"/>
  <c r="F71" i="24" s="1"/>
  <c r="J95" i="24"/>
  <c r="U95" i="24" s="1"/>
  <c r="E94" i="24"/>
  <c r="C119" i="24"/>
  <c r="K104" i="24"/>
  <c r="V104" i="24" s="1"/>
  <c r="K106" i="24"/>
  <c r="V106" i="24" s="1"/>
  <c r="K110" i="24"/>
  <c r="V110" i="24" s="1"/>
  <c r="K114" i="24"/>
  <c r="K118" i="24"/>
  <c r="V118" i="24" s="1"/>
  <c r="E219" i="24"/>
  <c r="E221" i="24" s="1"/>
  <c r="D343" i="24"/>
  <c r="D345" i="24" s="1"/>
  <c r="B8" i="26"/>
  <c r="G8" i="26" s="1"/>
  <c r="E48" i="22"/>
  <c r="E50" i="22" s="1"/>
  <c r="F94" i="24"/>
  <c r="F96" i="24" s="1"/>
  <c r="K126" i="24"/>
  <c r="K128" i="24"/>
  <c r="K130" i="24"/>
  <c r="V130" i="24" s="1"/>
  <c r="F169" i="24"/>
  <c r="F171" i="24" s="1"/>
  <c r="K229" i="24"/>
  <c r="V229" i="24" s="1"/>
  <c r="W229" i="24" s="1"/>
  <c r="E293" i="24"/>
  <c r="E295" i="24" s="1"/>
  <c r="K301" i="24"/>
  <c r="K305" i="24"/>
  <c r="V305" i="24" s="1"/>
  <c r="K309" i="24"/>
  <c r="V309" i="24" s="1"/>
  <c r="K313" i="24"/>
  <c r="K317" i="24"/>
  <c r="V317" i="24" s="1"/>
  <c r="Q22" i="26"/>
  <c r="B9" i="26"/>
  <c r="G9" i="26" s="1"/>
  <c r="C90" i="22"/>
  <c r="N90" i="22" s="1"/>
  <c r="K86" i="24"/>
  <c r="K92" i="24"/>
  <c r="D144" i="24"/>
  <c r="D146" i="24" s="1"/>
  <c r="K153" i="24"/>
  <c r="K157" i="24"/>
  <c r="V157" i="24" s="1"/>
  <c r="K159" i="24"/>
  <c r="V159" i="24" s="1"/>
  <c r="W159" i="24" s="1"/>
  <c r="K176" i="24"/>
  <c r="K180" i="24"/>
  <c r="V180" i="24" s="1"/>
  <c r="K211" i="24"/>
  <c r="K215" i="24"/>
  <c r="L215" i="24" s="1"/>
  <c r="K217" i="24"/>
  <c r="F293" i="24"/>
  <c r="F295" i="24" s="1"/>
  <c r="B10" i="26"/>
  <c r="G10" i="26" s="1"/>
  <c r="N22" i="26"/>
  <c r="B7" i="26"/>
  <c r="G7" i="26" s="1"/>
  <c r="B5" i="26"/>
  <c r="G5" i="26" s="1"/>
  <c r="R22" i="26"/>
  <c r="O22" i="26"/>
  <c r="P22" i="26"/>
  <c r="B4" i="26"/>
  <c r="G4" i="26" s="1"/>
  <c r="M18" i="25"/>
  <c r="B15" i="25"/>
  <c r="C15" i="25"/>
  <c r="K338" i="24"/>
  <c r="K325" i="24"/>
  <c r="K336" i="24"/>
  <c r="V336" i="24" s="1"/>
  <c r="W336" i="24" s="1"/>
  <c r="U341" i="24"/>
  <c r="J340" i="24"/>
  <c r="N338" i="24" s="1"/>
  <c r="J344" i="24"/>
  <c r="J330" i="24"/>
  <c r="J334" i="24"/>
  <c r="N332" i="24" s="1"/>
  <c r="J326" i="24"/>
  <c r="J331" i="24"/>
  <c r="J335" i="24"/>
  <c r="N335" i="24" s="1"/>
  <c r="J327" i="24"/>
  <c r="N330" i="24" s="1"/>
  <c r="K302" i="24"/>
  <c r="K307" i="24"/>
  <c r="K303" i="24"/>
  <c r="V303" i="24" s="1"/>
  <c r="W303" i="24" s="1"/>
  <c r="K310" i="24"/>
  <c r="K315" i="24"/>
  <c r="V315" i="24" s="1"/>
  <c r="W315" i="24" s="1"/>
  <c r="U302" i="24"/>
  <c r="J304" i="24"/>
  <c r="N305" i="24" s="1"/>
  <c r="J308" i="24"/>
  <c r="J312" i="24"/>
  <c r="N310" i="24" s="1"/>
  <c r="J316" i="24"/>
  <c r="C318" i="24"/>
  <c r="J300" i="24"/>
  <c r="N301" i="24" s="1"/>
  <c r="J301" i="24"/>
  <c r="J305" i="24"/>
  <c r="J309" i="24"/>
  <c r="J313" i="24"/>
  <c r="J317" i="24"/>
  <c r="C293" i="24"/>
  <c r="U282" i="24"/>
  <c r="U287" i="24"/>
  <c r="U279" i="24"/>
  <c r="U283" i="24"/>
  <c r="J278" i="24"/>
  <c r="N280" i="24" s="1"/>
  <c r="J275" i="24"/>
  <c r="N276" i="24" s="1"/>
  <c r="J291" i="24"/>
  <c r="J276" i="24"/>
  <c r="J280" i="24"/>
  <c r="J284" i="24"/>
  <c r="N282" i="24" s="1"/>
  <c r="J288" i="24"/>
  <c r="N288" i="24" s="1"/>
  <c r="J292" i="24"/>
  <c r="J250" i="24"/>
  <c r="J253" i="24"/>
  <c r="U253" i="24" s="1"/>
  <c r="J254" i="24"/>
  <c r="C268" i="24"/>
  <c r="J251" i="24"/>
  <c r="J255" i="24"/>
  <c r="J259" i="24"/>
  <c r="N257" i="24" s="1"/>
  <c r="J263" i="24"/>
  <c r="J267" i="24"/>
  <c r="N266" i="24" s="1"/>
  <c r="J256" i="24"/>
  <c r="J260" i="24"/>
  <c r="N260" i="24" s="1"/>
  <c r="J264" i="24"/>
  <c r="J252" i="24"/>
  <c r="K226" i="24"/>
  <c r="U238" i="24"/>
  <c r="U234" i="24"/>
  <c r="J226" i="24"/>
  <c r="J230" i="24"/>
  <c r="N231" i="24" s="1"/>
  <c r="J242" i="24"/>
  <c r="C244" i="24"/>
  <c r="J227" i="24"/>
  <c r="J231" i="24"/>
  <c r="J235" i="24"/>
  <c r="N233" i="24" s="1"/>
  <c r="J239" i="24"/>
  <c r="N239" i="24" s="1"/>
  <c r="J243" i="24"/>
  <c r="J208" i="24"/>
  <c r="K204" i="24"/>
  <c r="V204" i="24" s="1"/>
  <c r="W204" i="24" s="1"/>
  <c r="J211" i="24"/>
  <c r="J209" i="24"/>
  <c r="J213" i="24"/>
  <c r="J217" i="24"/>
  <c r="C219" i="24"/>
  <c r="J201" i="24"/>
  <c r="N202" i="24" s="1"/>
  <c r="J205" i="24"/>
  <c r="J206" i="24"/>
  <c r="J210" i="24"/>
  <c r="J214" i="24"/>
  <c r="J218" i="24"/>
  <c r="J202" i="24"/>
  <c r="K179" i="24"/>
  <c r="V179" i="24" s="1"/>
  <c r="W179" i="24" s="1"/>
  <c r="J183" i="24"/>
  <c r="J185" i="24"/>
  <c r="U185" i="24" s="1"/>
  <c r="K189" i="24"/>
  <c r="J181" i="24"/>
  <c r="U181" i="24" s="1"/>
  <c r="U189" i="24"/>
  <c r="U178" i="24"/>
  <c r="U182" i="24"/>
  <c r="J176" i="24"/>
  <c r="N177" i="24" s="1"/>
  <c r="J180" i="24"/>
  <c r="N181" i="24" s="1"/>
  <c r="J184" i="24"/>
  <c r="J188" i="24"/>
  <c r="N186" i="24" s="1"/>
  <c r="J192" i="24"/>
  <c r="C194" i="24"/>
  <c r="J193" i="24"/>
  <c r="C169" i="24"/>
  <c r="C171" i="24" s="1"/>
  <c r="K151" i="24"/>
  <c r="U165" i="24"/>
  <c r="J167" i="24"/>
  <c r="D169" i="24"/>
  <c r="D171" i="24" s="1"/>
  <c r="J168" i="24"/>
  <c r="J152" i="24"/>
  <c r="J156" i="24"/>
  <c r="J160" i="24"/>
  <c r="J164" i="24"/>
  <c r="N164" i="24" s="1"/>
  <c r="J153" i="24"/>
  <c r="J157" i="24"/>
  <c r="N152" i="24" s="1"/>
  <c r="J161" i="24"/>
  <c r="N161" i="24" s="1"/>
  <c r="K127" i="24"/>
  <c r="J132" i="24"/>
  <c r="J129" i="24"/>
  <c r="J133" i="24"/>
  <c r="J137" i="24"/>
  <c r="J141" i="24"/>
  <c r="J145" i="24"/>
  <c r="J126" i="24"/>
  <c r="J130" i="24"/>
  <c r="J138" i="24"/>
  <c r="C144" i="24"/>
  <c r="J134" i="24"/>
  <c r="K102" i="24"/>
  <c r="K108" i="24"/>
  <c r="J104" i="24"/>
  <c r="U104" i="24" s="1"/>
  <c r="K101" i="24"/>
  <c r="J102" i="24"/>
  <c r="J106" i="24"/>
  <c r="J110" i="24"/>
  <c r="J114" i="24"/>
  <c r="J118" i="24"/>
  <c r="N117" i="24" s="1"/>
  <c r="J103" i="24"/>
  <c r="J107" i="24"/>
  <c r="N102" i="24" s="1"/>
  <c r="J111" i="24"/>
  <c r="N111" i="24" s="1"/>
  <c r="J115" i="24"/>
  <c r="K83" i="24"/>
  <c r="K80" i="24"/>
  <c r="V80" i="24" s="1"/>
  <c r="W80" i="24" s="1"/>
  <c r="J91" i="24"/>
  <c r="J79" i="24"/>
  <c r="U79" i="24" s="1"/>
  <c r="U83" i="24"/>
  <c r="C94" i="24"/>
  <c r="J81" i="24"/>
  <c r="J85" i="24"/>
  <c r="N83" i="24" s="1"/>
  <c r="J89" i="24"/>
  <c r="J93" i="24"/>
  <c r="N92" i="24" s="1"/>
  <c r="J77" i="24"/>
  <c r="J90" i="24"/>
  <c r="J78" i="24"/>
  <c r="J82" i="24"/>
  <c r="N77" i="24" s="1"/>
  <c r="J86" i="24"/>
  <c r="N86" i="24" s="1"/>
  <c r="K54" i="24"/>
  <c r="V54" i="24" s="1"/>
  <c r="W54" i="24" s="1"/>
  <c r="J58" i="24"/>
  <c r="K66" i="24"/>
  <c r="V66" i="24" s="1"/>
  <c r="W66" i="24" s="1"/>
  <c r="U52" i="24"/>
  <c r="U60" i="24"/>
  <c r="U56" i="24"/>
  <c r="J70" i="24"/>
  <c r="J55" i="24"/>
  <c r="N56" i="24" s="1"/>
  <c r="J59" i="24"/>
  <c r="J63" i="24"/>
  <c r="C69" i="24"/>
  <c r="J51" i="24"/>
  <c r="N52" i="24" s="1"/>
  <c r="J64" i="24"/>
  <c r="J68" i="24"/>
  <c r="N67" i="24" s="1"/>
  <c r="K52" i="24"/>
  <c r="K56" i="24"/>
  <c r="V56" i="24" s="1"/>
  <c r="K60" i="24"/>
  <c r="V60" i="24" s="1"/>
  <c r="K30" i="24"/>
  <c r="V30" i="24" s="1"/>
  <c r="W30" i="24" s="1"/>
  <c r="J34" i="24"/>
  <c r="K42" i="24"/>
  <c r="L42" i="24" s="1"/>
  <c r="U31" i="24"/>
  <c r="U27" i="24"/>
  <c r="U41" i="24"/>
  <c r="U35" i="24"/>
  <c r="U37" i="24"/>
  <c r="J46" i="24"/>
  <c r="C45" i="24"/>
  <c r="K27" i="24"/>
  <c r="K31" i="24"/>
  <c r="V31" i="24" s="1"/>
  <c r="K35" i="24"/>
  <c r="V35" i="24" s="1"/>
  <c r="J28" i="24"/>
  <c r="J32" i="24"/>
  <c r="J36" i="24"/>
  <c r="J40" i="24"/>
  <c r="N40" i="24" s="1"/>
  <c r="J44" i="24"/>
  <c r="N43" i="24" s="1"/>
  <c r="K15" i="24"/>
  <c r="V15" i="24" s="1"/>
  <c r="W15" i="24" s="1"/>
  <c r="K14" i="24"/>
  <c r="L14" i="24" s="1"/>
  <c r="K13" i="24"/>
  <c r="K8" i="24"/>
  <c r="V8" i="24" s="1"/>
  <c r="U7" i="24"/>
  <c r="U6" i="24"/>
  <c r="J8" i="24"/>
  <c r="K7" i="24"/>
  <c r="V7" i="24" s="1"/>
  <c r="K6" i="24"/>
  <c r="V6" i="24" s="1"/>
  <c r="O62" i="22"/>
  <c r="O63" i="22"/>
  <c r="P63" i="22" s="1"/>
  <c r="O64" i="22"/>
  <c r="P64" i="22" s="1"/>
  <c r="O65" i="22"/>
  <c r="O66" i="22"/>
  <c r="P66" i="22" s="1"/>
  <c r="O67" i="22"/>
  <c r="P67" i="22" s="1"/>
  <c r="O68" i="22"/>
  <c r="O69" i="22"/>
  <c r="P69" i="22" s="1"/>
  <c r="O70" i="22"/>
  <c r="P70" i="22" s="1"/>
  <c r="O71" i="22"/>
  <c r="O72" i="22"/>
  <c r="P72" i="22" s="1"/>
  <c r="C73" i="22"/>
  <c r="O74" i="22"/>
  <c r="P74" i="22" s="1"/>
  <c r="O56" i="22"/>
  <c r="D73" i="22"/>
  <c r="O60" i="22"/>
  <c r="P60" i="22" s="1"/>
  <c r="O61" i="22"/>
  <c r="X62" i="22"/>
  <c r="O55" i="22"/>
  <c r="Y57" i="22"/>
  <c r="Y59" i="22"/>
  <c r="Y62" i="22"/>
  <c r="Y74" i="22"/>
  <c r="O57" i="22"/>
  <c r="O58" i="22"/>
  <c r="P58" i="22" s="1"/>
  <c r="X55" i="22"/>
  <c r="X58" i="22"/>
  <c r="Y60" i="22"/>
  <c r="Y63" i="22"/>
  <c r="Y65" i="22"/>
  <c r="Y67" i="22"/>
  <c r="Y71" i="22"/>
  <c r="J56" i="22"/>
  <c r="J57" i="22"/>
  <c r="J59" i="22"/>
  <c r="J60" i="22"/>
  <c r="J61" i="22"/>
  <c r="J63" i="22"/>
  <c r="O59" i="22"/>
  <c r="P59" i="22" s="1"/>
  <c r="Y64" i="22"/>
  <c r="Y66" i="22"/>
  <c r="Y68" i="22"/>
  <c r="Y69" i="22"/>
  <c r="K55" i="22"/>
  <c r="L55" i="22" s="1"/>
  <c r="AB55" i="22"/>
  <c r="K56" i="22"/>
  <c r="AB56" i="22"/>
  <c r="K57" i="22"/>
  <c r="AB57" i="22"/>
  <c r="K58" i="22"/>
  <c r="L58" i="22" s="1"/>
  <c r="AB58" i="22"/>
  <c r="K59" i="22"/>
  <c r="AB59" i="22"/>
  <c r="K60" i="22"/>
  <c r="AB60" i="22"/>
  <c r="K61" i="22"/>
  <c r="AB61" i="22"/>
  <c r="K62" i="22"/>
  <c r="L62" i="22" s="1"/>
  <c r="AB62" i="22"/>
  <c r="K63" i="22"/>
  <c r="AB63" i="22"/>
  <c r="K64" i="22"/>
  <c r="AB64" i="22"/>
  <c r="K65" i="22"/>
  <c r="AB65" i="22"/>
  <c r="K66" i="22"/>
  <c r="AB66" i="22"/>
  <c r="K67" i="22"/>
  <c r="AB67" i="22"/>
  <c r="K68" i="22"/>
  <c r="AB68" i="22"/>
  <c r="K69" i="22"/>
  <c r="L69" i="22" s="1"/>
  <c r="AB69" i="22"/>
  <c r="K70" i="22"/>
  <c r="AB70" i="22"/>
  <c r="K71" i="22"/>
  <c r="L71" i="22" s="1"/>
  <c r="AB71" i="22"/>
  <c r="K72" i="22"/>
  <c r="L72" i="22" s="1"/>
  <c r="AB72" i="22"/>
  <c r="K74" i="22"/>
  <c r="AB74" i="22"/>
  <c r="Y70" i="22"/>
  <c r="Y72" i="22"/>
  <c r="AC55" i="22"/>
  <c r="AC56" i="22"/>
  <c r="AC57" i="22"/>
  <c r="AC58" i="22"/>
  <c r="AC59" i="22"/>
  <c r="AC60" i="22"/>
  <c r="AC61" i="22"/>
  <c r="AC62" i="22"/>
  <c r="AC63" i="22"/>
  <c r="AC64" i="22"/>
  <c r="AC65" i="22"/>
  <c r="AC66" i="22"/>
  <c r="AC67" i="22"/>
  <c r="AC68" i="22"/>
  <c r="AC69" i="22"/>
  <c r="AC70" i="22"/>
  <c r="AC71" i="22"/>
  <c r="AC72" i="22"/>
  <c r="AC74" i="22"/>
  <c r="Y55" i="22"/>
  <c r="Y56" i="22"/>
  <c r="Y58" i="22"/>
  <c r="Y61" i="22"/>
  <c r="J45" i="22"/>
  <c r="J43" i="22"/>
  <c r="J41" i="22"/>
  <c r="O35" i="22"/>
  <c r="P35" i="22" s="1"/>
  <c r="O41" i="22"/>
  <c r="P41" i="22" s="1"/>
  <c r="O46" i="22"/>
  <c r="O47" i="22"/>
  <c r="P47" i="22" s="1"/>
  <c r="C48" i="22"/>
  <c r="O49" i="22"/>
  <c r="P49" i="22" s="1"/>
  <c r="D48" i="22"/>
  <c r="O33" i="22"/>
  <c r="P33" i="22" s="1"/>
  <c r="O40" i="22"/>
  <c r="X30" i="22"/>
  <c r="X34" i="22"/>
  <c r="X39" i="22"/>
  <c r="X49" i="22"/>
  <c r="O30" i="22"/>
  <c r="O36" i="22"/>
  <c r="P36" i="22" s="1"/>
  <c r="X33" i="22"/>
  <c r="X37" i="22"/>
  <c r="Y31" i="22"/>
  <c r="Y34" i="22"/>
  <c r="Y40" i="22"/>
  <c r="Y43" i="22"/>
  <c r="Y49" i="22"/>
  <c r="O32" i="22"/>
  <c r="O38" i="22"/>
  <c r="P38" i="22" s="1"/>
  <c r="O42" i="22"/>
  <c r="P42" i="22" s="1"/>
  <c r="X31" i="22"/>
  <c r="Z31" i="22" s="1"/>
  <c r="X35" i="22"/>
  <c r="X38" i="22"/>
  <c r="Y30" i="22"/>
  <c r="Y32" i="22"/>
  <c r="Y33" i="22"/>
  <c r="Y35" i="22"/>
  <c r="Y36" i="22"/>
  <c r="Y37" i="22"/>
  <c r="Y38" i="22"/>
  <c r="Y41" i="22"/>
  <c r="Y44" i="22"/>
  <c r="Y47" i="22"/>
  <c r="J32" i="22"/>
  <c r="J36" i="22"/>
  <c r="J40" i="22"/>
  <c r="O31" i="22"/>
  <c r="O37" i="22"/>
  <c r="O43" i="22"/>
  <c r="O44" i="22"/>
  <c r="P44" i="22" s="1"/>
  <c r="K30" i="22"/>
  <c r="L30" i="22" s="1"/>
  <c r="AB31" i="22"/>
  <c r="AB32" i="22"/>
  <c r="AB33" i="22"/>
  <c r="AB34" i="22"/>
  <c r="K36" i="22"/>
  <c r="K37" i="22"/>
  <c r="L37" i="22" s="1"/>
  <c r="K38" i="22"/>
  <c r="L38" i="22" s="1"/>
  <c r="K39" i="22"/>
  <c r="L39" i="22" s="1"/>
  <c r="K40" i="22"/>
  <c r="AB40" i="22"/>
  <c r="K41" i="22"/>
  <c r="K42" i="22"/>
  <c r="AB42" i="22"/>
  <c r="K43" i="22"/>
  <c r="AB43" i="22"/>
  <c r="K44" i="22"/>
  <c r="L44" i="22" s="1"/>
  <c r="AB44" i="22"/>
  <c r="K45" i="22"/>
  <c r="AB45" i="22"/>
  <c r="K46" i="22"/>
  <c r="L46" i="22" s="1"/>
  <c r="AB46" i="22"/>
  <c r="K47" i="22"/>
  <c r="L47" i="22" s="1"/>
  <c r="AB47" i="22"/>
  <c r="K49" i="22"/>
  <c r="L49" i="22" s="1"/>
  <c r="AC30" i="22"/>
  <c r="AC31" i="22"/>
  <c r="AC32" i="22"/>
  <c r="AC33" i="22"/>
  <c r="AC34" i="22"/>
  <c r="AC35" i="22"/>
  <c r="AC36" i="22"/>
  <c r="AC37" i="22"/>
  <c r="AC38" i="22"/>
  <c r="AC39" i="22"/>
  <c r="AC40" i="22"/>
  <c r="AC41" i="22"/>
  <c r="AC42" i="22"/>
  <c r="AC43" i="22"/>
  <c r="AC44" i="22"/>
  <c r="AC45" i="22"/>
  <c r="AC46" i="22"/>
  <c r="AC47" i="22"/>
  <c r="AC49" i="22"/>
  <c r="O34" i="22"/>
  <c r="P34" i="22" s="1"/>
  <c r="O39" i="22"/>
  <c r="P39" i="22" s="1"/>
  <c r="O45" i="22"/>
  <c r="P45" i="22" s="1"/>
  <c r="Y39" i="22"/>
  <c r="Y42" i="22"/>
  <c r="Y45" i="22"/>
  <c r="Y46" i="22"/>
  <c r="AB30" i="22"/>
  <c r="K31" i="22"/>
  <c r="L31" i="22" s="1"/>
  <c r="K32" i="22"/>
  <c r="K33" i="22"/>
  <c r="L33" i="22" s="1"/>
  <c r="K34" i="22"/>
  <c r="L34" i="22" s="1"/>
  <c r="K35" i="22"/>
  <c r="L35" i="22" s="1"/>
  <c r="AB35" i="22"/>
  <c r="AB36" i="22"/>
  <c r="AB37" i="22"/>
  <c r="AB38" i="22"/>
  <c r="AB39" i="22"/>
  <c r="AB41" i="22"/>
  <c r="AB49" i="22"/>
  <c r="AC13" i="22"/>
  <c r="X10" i="22"/>
  <c r="X14" i="22"/>
  <c r="Y11" i="22"/>
  <c r="X17" i="22"/>
  <c r="O17" i="22"/>
  <c r="N17" i="22"/>
  <c r="N15" i="22"/>
  <c r="AB15" i="22"/>
  <c r="AB14" i="22"/>
  <c r="O14" i="22"/>
  <c r="Y14" i="22"/>
  <c r="O13" i="22"/>
  <c r="J13" i="22"/>
  <c r="Y12" i="22"/>
  <c r="AB12" i="22"/>
  <c r="O12" i="22"/>
  <c r="N12" i="22"/>
  <c r="AC11" i="22"/>
  <c r="X11" i="22"/>
  <c r="N10" i="22"/>
  <c r="O10" i="22"/>
  <c r="Y10" i="22"/>
  <c r="AB10" i="22"/>
  <c r="N9" i="22"/>
  <c r="Y9" i="22"/>
  <c r="K8" i="22"/>
  <c r="L8" i="22" s="1"/>
  <c r="X8" i="22"/>
  <c r="N8" i="22"/>
  <c r="AB8" i="22"/>
  <c r="X7" i="22"/>
  <c r="N7" i="22"/>
  <c r="O7" i="22"/>
  <c r="N6" i="22"/>
  <c r="AB23" i="22"/>
  <c r="K23" i="22"/>
  <c r="O23" i="22"/>
  <c r="AC23" i="22"/>
  <c r="Y23" i="22"/>
  <c r="X23" i="22"/>
  <c r="X9" i="22"/>
  <c r="Y13" i="22"/>
  <c r="X15" i="22"/>
  <c r="AC14" i="22"/>
  <c r="K18" i="21"/>
  <c r="AC12" i="22"/>
  <c r="X12" i="22"/>
  <c r="Y17" i="22"/>
  <c r="Y8" i="22"/>
  <c r="O11" i="22"/>
  <c r="Y15" i="22"/>
  <c r="Y7" i="22"/>
  <c r="AB13" i="22"/>
  <c r="AC10" i="22"/>
  <c r="N13" i="22"/>
  <c r="AC9" i="22"/>
  <c r="O9" i="22"/>
  <c r="AB11" i="22"/>
  <c r="AC17" i="22"/>
  <c r="AC8" i="22"/>
  <c r="J15" i="22"/>
  <c r="J7" i="22"/>
  <c r="N11" i="22"/>
  <c r="AC15" i="22"/>
  <c r="AC7" i="22"/>
  <c r="X19" i="22"/>
  <c r="H29" i="2"/>
  <c r="H34" i="2" s="1"/>
  <c r="Z11" i="22"/>
  <c r="X21" i="22"/>
  <c r="O21" i="22"/>
  <c r="X20" i="22"/>
  <c r="O20" i="22"/>
  <c r="X18" i="22"/>
  <c r="AC18" i="22"/>
  <c r="K18" i="22"/>
  <c r="L18" i="22" s="1"/>
  <c r="N18" i="22"/>
  <c r="O19" i="22"/>
  <c r="P19" i="22" s="1"/>
  <c r="O18" i="22"/>
  <c r="K21" i="22"/>
  <c r="L21" i="22" s="1"/>
  <c r="AB21" i="22"/>
  <c r="K20" i="22"/>
  <c r="L20" i="22" s="1"/>
  <c r="Y21" i="22"/>
  <c r="AB20" i="22"/>
  <c r="AC21" i="22"/>
  <c r="N21" i="22"/>
  <c r="Y20" i="22"/>
  <c r="AB19" i="22"/>
  <c r="AC20" i="22"/>
  <c r="K19" i="22"/>
  <c r="L19" i="22" s="1"/>
  <c r="N20" i="22"/>
  <c r="Y19" i="22"/>
  <c r="AB18" i="22"/>
  <c r="AC19" i="22"/>
  <c r="Y18" i="22"/>
  <c r="I7" i="2"/>
  <c r="I12" i="2" s="1"/>
  <c r="H7" i="2"/>
  <c r="H12" i="2" s="1"/>
  <c r="Y5" i="22"/>
  <c r="O6" i="22"/>
  <c r="X5" i="22"/>
  <c r="K4" i="22"/>
  <c r="X4" i="22"/>
  <c r="Y6" i="22"/>
  <c r="J4" i="22"/>
  <c r="X6" i="22"/>
  <c r="AB5" i="22"/>
  <c r="N4" i="22"/>
  <c r="AC4" i="22"/>
  <c r="AB4" i="22"/>
  <c r="AC6" i="22"/>
  <c r="N5" i="22"/>
  <c r="AC5" i="22"/>
  <c r="O5" i="22"/>
  <c r="Y4" i="22"/>
  <c r="O4" i="22"/>
  <c r="K12" i="22"/>
  <c r="L12" i="22" s="1"/>
  <c r="F22" i="22"/>
  <c r="C22" i="22"/>
  <c r="E22" i="22"/>
  <c r="J5" i="22"/>
  <c r="K15" i="22"/>
  <c r="K11" i="22"/>
  <c r="L11" i="22" s="1"/>
  <c r="K7" i="22"/>
  <c r="K14" i="22"/>
  <c r="J10" i="22"/>
  <c r="J6" i="22"/>
  <c r="J14" i="22"/>
  <c r="K13" i="22"/>
  <c r="K9" i="22"/>
  <c r="L9" i="22" s="1"/>
  <c r="K5" i="22"/>
  <c r="K6" i="22"/>
  <c r="J17" i="22"/>
  <c r="K17" i="22"/>
  <c r="J28" i="21"/>
  <c r="J27" i="21"/>
  <c r="M22" i="26"/>
  <c r="K22" i="26"/>
  <c r="I22" i="26"/>
  <c r="H22" i="26"/>
  <c r="T22" i="26"/>
  <c r="S22" i="26"/>
  <c r="J23" i="21"/>
  <c r="D25" i="21"/>
  <c r="C25" i="21"/>
  <c r="J24" i="21"/>
  <c r="G24" i="21"/>
  <c r="F24" i="21"/>
  <c r="E24" i="21"/>
  <c r="D24" i="21"/>
  <c r="C24" i="21"/>
  <c r="J25" i="21"/>
  <c r="G25" i="21"/>
  <c r="F25" i="21"/>
  <c r="E25" i="21"/>
  <c r="J22" i="21"/>
  <c r="G22" i="21"/>
  <c r="F22" i="21"/>
  <c r="E22" i="21"/>
  <c r="D22" i="21"/>
  <c r="C22" i="21"/>
  <c r="O3" i="25"/>
  <c r="O18" i="25" s="1"/>
  <c r="C17" i="2"/>
  <c r="C23" i="2"/>
  <c r="J32" i="2"/>
  <c r="G32" i="2"/>
  <c r="F32" i="2"/>
  <c r="E32" i="2"/>
  <c r="D32" i="2"/>
  <c r="C32" i="2"/>
  <c r="N214" i="24" l="1"/>
  <c r="Z63" i="22"/>
  <c r="N156" i="24"/>
  <c r="R81" i="22"/>
  <c r="N313" i="24"/>
  <c r="W38" i="24"/>
  <c r="N106" i="24"/>
  <c r="N303" i="24"/>
  <c r="R5" i="22"/>
  <c r="R87" i="22"/>
  <c r="N291" i="24"/>
  <c r="N30" i="24"/>
  <c r="N278" i="24"/>
  <c r="N167" i="24"/>
  <c r="R11" i="22"/>
  <c r="N81" i="24"/>
  <c r="N227" i="24"/>
  <c r="N307" i="24"/>
  <c r="R90" i="22"/>
  <c r="N136" i="24"/>
  <c r="W181" i="24"/>
  <c r="R17" i="22"/>
  <c r="N131" i="24"/>
  <c r="N328" i="24"/>
  <c r="R7" i="22"/>
  <c r="N114" i="24"/>
  <c r="N217" i="24"/>
  <c r="N154" i="24"/>
  <c r="N229" i="24"/>
  <c r="N192" i="24"/>
  <c r="R85" i="22"/>
  <c r="N108" i="24"/>
  <c r="S7" i="22"/>
  <c r="P43" i="22"/>
  <c r="S43" i="22"/>
  <c r="P62" i="22"/>
  <c r="S62" i="22"/>
  <c r="T62" i="22" s="1"/>
  <c r="V108" i="24"/>
  <c r="W108" i="24" s="1"/>
  <c r="O108" i="24"/>
  <c r="U183" i="24"/>
  <c r="N183" i="24"/>
  <c r="V302" i="24"/>
  <c r="W302" i="24" s="1"/>
  <c r="O305" i="24"/>
  <c r="P305" i="24" s="1"/>
  <c r="D4" i="26"/>
  <c r="V153" i="24"/>
  <c r="O156" i="24"/>
  <c r="V313" i="24"/>
  <c r="O313" i="24"/>
  <c r="P313" i="24" s="1"/>
  <c r="V128" i="24"/>
  <c r="W128" i="24" s="1"/>
  <c r="O131" i="24"/>
  <c r="V114" i="24"/>
  <c r="O114" i="24"/>
  <c r="U203" i="24"/>
  <c r="N206" i="24"/>
  <c r="U363" i="24"/>
  <c r="N363" i="24"/>
  <c r="V266" i="24"/>
  <c r="W266" i="24" s="1"/>
  <c r="O266" i="24"/>
  <c r="V177" i="24"/>
  <c r="O179" i="24"/>
  <c r="V291" i="24"/>
  <c r="O291" i="24"/>
  <c r="V250" i="24"/>
  <c r="O251" i="24"/>
  <c r="V300" i="24"/>
  <c r="O301" i="24"/>
  <c r="P301" i="24" s="1"/>
  <c r="V263" i="24"/>
  <c r="O263" i="24"/>
  <c r="V77" i="24"/>
  <c r="O79" i="24"/>
  <c r="V164" i="24"/>
  <c r="O164" i="24"/>
  <c r="V51" i="24"/>
  <c r="O52" i="24"/>
  <c r="T7" i="22"/>
  <c r="S17" i="22"/>
  <c r="P37" i="22"/>
  <c r="S37" i="22"/>
  <c r="P46" i="22"/>
  <c r="S46" i="22"/>
  <c r="P57" i="22"/>
  <c r="S60" i="22"/>
  <c r="T60" i="22" s="1"/>
  <c r="V27" i="24"/>
  <c r="O28" i="24"/>
  <c r="N64" i="24"/>
  <c r="V102" i="24"/>
  <c r="O104" i="24"/>
  <c r="V151" i="24"/>
  <c r="W151" i="24" s="1"/>
  <c r="O152" i="24"/>
  <c r="P152" i="24" s="1"/>
  <c r="V217" i="24"/>
  <c r="O217" i="24"/>
  <c r="V126" i="24"/>
  <c r="O127" i="24"/>
  <c r="U357" i="24"/>
  <c r="R93" i="22"/>
  <c r="U177" i="24"/>
  <c r="N179" i="24"/>
  <c r="V242" i="24"/>
  <c r="O242" i="24"/>
  <c r="U366" i="24"/>
  <c r="V251" i="24"/>
  <c r="O253" i="24"/>
  <c r="V227" i="24"/>
  <c r="O229" i="24"/>
  <c r="V43" i="24"/>
  <c r="W43" i="24" s="1"/>
  <c r="O43" i="24"/>
  <c r="V214" i="24"/>
  <c r="O214" i="24"/>
  <c r="R15" i="29"/>
  <c r="N129" i="24"/>
  <c r="P31" i="22"/>
  <c r="S33" i="22"/>
  <c r="P68" i="22"/>
  <c r="S68" i="22"/>
  <c r="T68" i="22" s="1"/>
  <c r="N79" i="24"/>
  <c r="N133" i="24"/>
  <c r="N204" i="24"/>
  <c r="N263" i="24"/>
  <c r="U250" i="24"/>
  <c r="N251" i="24"/>
  <c r="V92" i="24"/>
  <c r="W92" i="24" s="1"/>
  <c r="O92" i="24"/>
  <c r="L332" i="24"/>
  <c r="O332" i="24"/>
  <c r="P332" i="24" s="1"/>
  <c r="V117" i="24"/>
  <c r="W117" i="24" s="1"/>
  <c r="O117" i="24"/>
  <c r="V288" i="24"/>
  <c r="O288" i="24"/>
  <c r="P288" i="24" s="1"/>
  <c r="V167" i="24"/>
  <c r="O167" i="24"/>
  <c r="V111" i="24"/>
  <c r="O111" i="24"/>
  <c r="V136" i="24"/>
  <c r="W136" i="24" s="1"/>
  <c r="O136" i="24"/>
  <c r="L61" i="24"/>
  <c r="O61" i="24"/>
  <c r="V40" i="24"/>
  <c r="O40" i="24"/>
  <c r="P40" i="24" s="1"/>
  <c r="N61" i="24"/>
  <c r="N142" i="24"/>
  <c r="N37" i="24"/>
  <c r="P40" i="22"/>
  <c r="S40" i="22"/>
  <c r="P56" i="22"/>
  <c r="S58" i="22"/>
  <c r="T58" i="22" s="1"/>
  <c r="U34" i="24"/>
  <c r="N34" i="24"/>
  <c r="V226" i="24"/>
  <c r="O227" i="24"/>
  <c r="V325" i="24"/>
  <c r="O326" i="24"/>
  <c r="V211" i="24"/>
  <c r="O211" i="24"/>
  <c r="V86" i="24"/>
  <c r="O86" i="24"/>
  <c r="V301" i="24"/>
  <c r="O303" i="24"/>
  <c r="V158" i="24"/>
  <c r="O158" i="24"/>
  <c r="D20" i="26"/>
  <c r="V285" i="24"/>
  <c r="W285" i="24" s="1"/>
  <c r="O285" i="24"/>
  <c r="V161" i="24"/>
  <c r="O161" i="24"/>
  <c r="V203" i="24"/>
  <c r="O206" i="24"/>
  <c r="V29" i="24"/>
  <c r="W29" i="24" s="1"/>
  <c r="O32" i="24"/>
  <c r="P14" i="22"/>
  <c r="U58" i="24"/>
  <c r="N58" i="24"/>
  <c r="N89" i="24"/>
  <c r="V83" i="24"/>
  <c r="W83" i="24" s="1"/>
  <c r="O83" i="24"/>
  <c r="P83" i="24" s="1"/>
  <c r="L338" i="24"/>
  <c r="O338" i="24"/>
  <c r="P338" i="24" s="1"/>
  <c r="D5" i="26"/>
  <c r="D8" i="26"/>
  <c r="V326" i="24"/>
  <c r="O328" i="24"/>
  <c r="V335" i="24"/>
  <c r="O335" i="24"/>
  <c r="U158" i="24"/>
  <c r="N158" i="24"/>
  <c r="R96" i="22"/>
  <c r="V133" i="24"/>
  <c r="O133" i="24"/>
  <c r="V76" i="24"/>
  <c r="W76" i="24" s="1"/>
  <c r="O77" i="24"/>
  <c r="V89" i="24"/>
  <c r="O89" i="24"/>
  <c r="V260" i="24"/>
  <c r="O260" i="24"/>
  <c r="V152" i="24"/>
  <c r="O154" i="24"/>
  <c r="V183" i="24"/>
  <c r="O183" i="24"/>
  <c r="V34" i="24"/>
  <c r="O34" i="24"/>
  <c r="V208" i="24"/>
  <c r="O208" i="24"/>
  <c r="S5" i="22"/>
  <c r="S9" i="22"/>
  <c r="R20" i="22"/>
  <c r="S11" i="22"/>
  <c r="R9" i="22"/>
  <c r="P32" i="22"/>
  <c r="S35" i="22"/>
  <c r="P65" i="22"/>
  <c r="S65" i="22"/>
  <c r="N104" i="24"/>
  <c r="V127" i="24"/>
  <c r="W127" i="24" s="1"/>
  <c r="O129" i="24"/>
  <c r="U211" i="24"/>
  <c r="N211" i="24"/>
  <c r="N255" i="24"/>
  <c r="N253" i="24"/>
  <c r="V310" i="24"/>
  <c r="W310" i="24" s="1"/>
  <c r="O310" i="24"/>
  <c r="D7" i="26"/>
  <c r="V176" i="24"/>
  <c r="O177" i="24"/>
  <c r="P177" i="24" s="1"/>
  <c r="D9" i="26"/>
  <c r="V236" i="24"/>
  <c r="W236" i="24" s="1"/>
  <c r="O236" i="24"/>
  <c r="V276" i="24"/>
  <c r="O278" i="24"/>
  <c r="V78" i="24"/>
  <c r="O81" i="24"/>
  <c r="L228" i="24"/>
  <c r="O231" i="24"/>
  <c r="V192" i="24"/>
  <c r="O192" i="24"/>
  <c r="V316" i="24"/>
  <c r="O316" i="24"/>
  <c r="V103" i="24"/>
  <c r="O106" i="24"/>
  <c r="U352" i="24"/>
  <c r="V239" i="24"/>
  <c r="O239" i="24"/>
  <c r="V341" i="24"/>
  <c r="W341" i="24" s="1"/>
  <c r="O341" i="24"/>
  <c r="P341" i="24" s="1"/>
  <c r="N285" i="24"/>
  <c r="P30" i="22"/>
  <c r="S31" i="22"/>
  <c r="P55" i="22"/>
  <c r="S56" i="22"/>
  <c r="T56" i="22" s="1"/>
  <c r="V101" i="24"/>
  <c r="W101" i="24" s="1"/>
  <c r="O102" i="24"/>
  <c r="N127" i="24"/>
  <c r="V189" i="24"/>
  <c r="O189" i="24"/>
  <c r="N242" i="24"/>
  <c r="V275" i="24"/>
  <c r="O276" i="24"/>
  <c r="P276" i="24" s="1"/>
  <c r="V252" i="24"/>
  <c r="O255" i="24"/>
  <c r="V139" i="24"/>
  <c r="O139" i="24"/>
  <c r="V186" i="24"/>
  <c r="W186" i="24" s="1"/>
  <c r="O186" i="24"/>
  <c r="V201" i="24"/>
  <c r="O202" i="24"/>
  <c r="P202" i="24" s="1"/>
  <c r="V67" i="24"/>
  <c r="W67" i="24" s="1"/>
  <c r="O67" i="24"/>
  <c r="L53" i="24"/>
  <c r="O56" i="24"/>
  <c r="V142" i="24"/>
  <c r="W142" i="24" s="1"/>
  <c r="O142" i="24"/>
  <c r="V64" i="24"/>
  <c r="O64" i="24"/>
  <c r="V327" i="24"/>
  <c r="O330" i="24"/>
  <c r="P330" i="24" s="1"/>
  <c r="V28" i="24"/>
  <c r="O30" i="24"/>
  <c r="V202" i="24"/>
  <c r="O204" i="24"/>
  <c r="V257" i="24"/>
  <c r="W257" i="24" s="1"/>
  <c r="O257" i="24"/>
  <c r="P257" i="24" s="1"/>
  <c r="N189" i="24"/>
  <c r="M32" i="2"/>
  <c r="S20" i="22"/>
  <c r="P71" i="22"/>
  <c r="S71" i="22"/>
  <c r="T71" i="22" s="1"/>
  <c r="V13" i="24"/>
  <c r="W13" i="24" s="1"/>
  <c r="O13" i="24"/>
  <c r="V52" i="24"/>
  <c r="W52" i="24" s="1"/>
  <c r="O54" i="24"/>
  <c r="U208" i="24"/>
  <c r="N208" i="24"/>
  <c r="N316" i="24"/>
  <c r="V307" i="24"/>
  <c r="W307" i="24" s="1"/>
  <c r="O307" i="24"/>
  <c r="P307" i="24" s="1"/>
  <c r="D10" i="26"/>
  <c r="U325" i="24"/>
  <c r="N326" i="24"/>
  <c r="U350" i="24"/>
  <c r="N351" i="24"/>
  <c r="U139" i="24"/>
  <c r="N139" i="24"/>
  <c r="V178" i="24"/>
  <c r="W178" i="24" s="1"/>
  <c r="O181" i="24"/>
  <c r="V277" i="24"/>
  <c r="W277" i="24" s="1"/>
  <c r="O280" i="24"/>
  <c r="V37" i="24"/>
  <c r="W37" i="24" s="1"/>
  <c r="O37" i="24"/>
  <c r="V233" i="24"/>
  <c r="W233" i="24" s="1"/>
  <c r="O233" i="24"/>
  <c r="V282" i="24"/>
  <c r="W282" i="24" s="1"/>
  <c r="O282" i="24"/>
  <c r="P282" i="24" s="1"/>
  <c r="V58" i="24"/>
  <c r="O58" i="24"/>
  <c r="R83" i="22"/>
  <c r="L29" i="24"/>
  <c r="L142" i="24"/>
  <c r="W238" i="24"/>
  <c r="W185" i="24"/>
  <c r="W154" i="24"/>
  <c r="Z65" i="22"/>
  <c r="Z69" i="22"/>
  <c r="L341" i="24"/>
  <c r="L207" i="24"/>
  <c r="Q18" i="29"/>
  <c r="D18" i="29"/>
  <c r="Q5" i="29"/>
  <c r="S5" i="29" s="1"/>
  <c r="D5" i="29"/>
  <c r="Q12" i="29"/>
  <c r="S12" i="29" s="1"/>
  <c r="D12" i="29"/>
  <c r="Q19" i="29"/>
  <c r="D19" i="29"/>
  <c r="Q8" i="29"/>
  <c r="S8" i="29" s="1"/>
  <c r="D8" i="29"/>
  <c r="Q13" i="29"/>
  <c r="S13" i="29" s="1"/>
  <c r="D13" i="29"/>
  <c r="Q20" i="29"/>
  <c r="S20" i="29" s="1"/>
  <c r="D20" i="29"/>
  <c r="Q7" i="29"/>
  <c r="S7" i="29" s="1"/>
  <c r="D7" i="29"/>
  <c r="Q16" i="29"/>
  <c r="S16" i="29" s="1"/>
  <c r="D16" i="29"/>
  <c r="Q14" i="29"/>
  <c r="S14" i="29" s="1"/>
  <c r="D14" i="29"/>
  <c r="Q17" i="29"/>
  <c r="S17" i="29" s="1"/>
  <c r="D17" i="29"/>
  <c r="Q6" i="29"/>
  <c r="S6" i="29" s="1"/>
  <c r="D6" i="29"/>
  <c r="AB87" i="22"/>
  <c r="Q11" i="29"/>
  <c r="S11" i="29" s="1"/>
  <c r="D11" i="29"/>
  <c r="Q9" i="29"/>
  <c r="S9" i="29" s="1"/>
  <c r="D9" i="29"/>
  <c r="Q10" i="29"/>
  <c r="S10" i="29" s="1"/>
  <c r="D10" i="29"/>
  <c r="L294" i="24"/>
  <c r="L178" i="24"/>
  <c r="H38" i="2"/>
  <c r="L65" i="24"/>
  <c r="AD8" i="22"/>
  <c r="L220" i="24"/>
  <c r="L234" i="24"/>
  <c r="X88" i="22"/>
  <c r="W234" i="24"/>
  <c r="K88" i="22"/>
  <c r="L41" i="24"/>
  <c r="L329" i="24"/>
  <c r="W212" i="24"/>
  <c r="W41" i="24"/>
  <c r="AB88" i="22"/>
  <c r="L76" i="24"/>
  <c r="L43" i="24"/>
  <c r="P17" i="22"/>
  <c r="L266" i="24"/>
  <c r="L13" i="24"/>
  <c r="L139" i="24"/>
  <c r="AD11" i="22"/>
  <c r="Z66" i="22"/>
  <c r="AB89" i="22"/>
  <c r="H37" i="2"/>
  <c r="AD15" i="22"/>
  <c r="Z61" i="22"/>
  <c r="L66" i="22"/>
  <c r="K87" i="22"/>
  <c r="L87" i="22" s="1"/>
  <c r="P61" i="22"/>
  <c r="AB86" i="22"/>
  <c r="L67" i="24"/>
  <c r="L290" i="24"/>
  <c r="L319" i="24"/>
  <c r="X99" i="22"/>
  <c r="K367" i="24"/>
  <c r="V367" i="24" s="1"/>
  <c r="O90" i="22"/>
  <c r="K80" i="22"/>
  <c r="L80" i="22" s="1"/>
  <c r="L87" i="24"/>
  <c r="L337" i="24"/>
  <c r="L42" i="22"/>
  <c r="AB97" i="22"/>
  <c r="L245" i="24"/>
  <c r="W314" i="24"/>
  <c r="Z14" i="22"/>
  <c r="B21" i="29"/>
  <c r="G23" i="29" s="1"/>
  <c r="Q4" i="29"/>
  <c r="Y84" i="22"/>
  <c r="W216" i="24"/>
  <c r="W191" i="24"/>
  <c r="K364" i="24"/>
  <c r="V364" i="24" s="1"/>
  <c r="Z56" i="22"/>
  <c r="Z74" i="22"/>
  <c r="W135" i="24"/>
  <c r="V57" i="24"/>
  <c r="W57" i="24" s="1"/>
  <c r="K89" i="22"/>
  <c r="L89" i="22" s="1"/>
  <c r="J88" i="22"/>
  <c r="L216" i="24"/>
  <c r="L286" i="24"/>
  <c r="W286" i="24"/>
  <c r="AC94" i="22"/>
  <c r="J84" i="22"/>
  <c r="AD23" i="22"/>
  <c r="AD39" i="22"/>
  <c r="Z35" i="22"/>
  <c r="O85" i="22"/>
  <c r="P85" i="22" s="1"/>
  <c r="K355" i="24"/>
  <c r="L22" i="26"/>
  <c r="Z67" i="22"/>
  <c r="L159" i="24"/>
  <c r="L43" i="22"/>
  <c r="L91" i="24"/>
  <c r="Z15" i="22"/>
  <c r="L310" i="24"/>
  <c r="K356" i="24"/>
  <c r="J22" i="26"/>
  <c r="Z40" i="22"/>
  <c r="AD71" i="22"/>
  <c r="AD63" i="22"/>
  <c r="AD55" i="22"/>
  <c r="AB94" i="22"/>
  <c r="K85" i="22"/>
  <c r="L85" i="22" s="1"/>
  <c r="L95" i="24"/>
  <c r="K293" i="24"/>
  <c r="V293" i="24" s="1"/>
  <c r="AC97" i="22"/>
  <c r="O95" i="22"/>
  <c r="P95" i="22" s="1"/>
  <c r="K363" i="24"/>
  <c r="Y81" i="22"/>
  <c r="K95" i="22"/>
  <c r="L95" i="22" s="1"/>
  <c r="L170" i="24"/>
  <c r="L179" i="24"/>
  <c r="L306" i="24"/>
  <c r="Z46" i="22"/>
  <c r="AB92" i="22"/>
  <c r="V14" i="24"/>
  <c r="W14" i="24" s="1"/>
  <c r="L92" i="24"/>
  <c r="L166" i="24"/>
  <c r="L232" i="24"/>
  <c r="V289" i="24"/>
  <c r="W289" i="24" s="1"/>
  <c r="L314" i="24"/>
  <c r="L339" i="24"/>
  <c r="W109" i="24"/>
  <c r="O84" i="22"/>
  <c r="P84" i="22" s="1"/>
  <c r="Z45" i="22"/>
  <c r="L67" i="22"/>
  <c r="Z60" i="22"/>
  <c r="Z57" i="22"/>
  <c r="AC90" i="22"/>
  <c r="AB84" i="22"/>
  <c r="Y97" i="22"/>
  <c r="L15" i="24"/>
  <c r="L39" i="24"/>
  <c r="U65" i="24"/>
  <c r="W65" i="24" s="1"/>
  <c r="L165" i="24"/>
  <c r="L261" i="24"/>
  <c r="L287" i="24"/>
  <c r="Y80" i="22"/>
  <c r="X90" i="22"/>
  <c r="P8" i="22"/>
  <c r="X95" i="22"/>
  <c r="L37" i="24"/>
  <c r="L311" i="24"/>
  <c r="X83" i="22"/>
  <c r="L13" i="22"/>
  <c r="Z59" i="22"/>
  <c r="L105" i="24"/>
  <c r="L140" i="24"/>
  <c r="W182" i="24"/>
  <c r="W232" i="24"/>
  <c r="Z72" i="22"/>
  <c r="AC87" i="22"/>
  <c r="K84" i="22"/>
  <c r="Y87" i="22"/>
  <c r="L33" i="24"/>
  <c r="L60" i="24"/>
  <c r="L88" i="24"/>
  <c r="L136" i="24"/>
  <c r="W165" i="24"/>
  <c r="L186" i="24"/>
  <c r="L212" i="24"/>
  <c r="W287" i="24"/>
  <c r="L303" i="24"/>
  <c r="Z41" i="22"/>
  <c r="W131" i="24"/>
  <c r="K350" i="24"/>
  <c r="K369" i="24"/>
  <c r="X91" i="22"/>
  <c r="Z44" i="22"/>
  <c r="Z70" i="22"/>
  <c r="L70" i="22"/>
  <c r="Z68" i="22"/>
  <c r="O92" i="22"/>
  <c r="AB81" i="22"/>
  <c r="O94" i="22"/>
  <c r="P94" i="22" s="1"/>
  <c r="V61" i="24"/>
  <c r="W61" i="24" s="1"/>
  <c r="W79" i="24"/>
  <c r="L187" i="24"/>
  <c r="W95" i="24"/>
  <c r="K366" i="24"/>
  <c r="O83" i="22"/>
  <c r="P83" i="22" s="1"/>
  <c r="AB93" i="22"/>
  <c r="O89" i="22"/>
  <c r="X89" i="22"/>
  <c r="L191" i="24"/>
  <c r="L285" i="24"/>
  <c r="AC81" i="22"/>
  <c r="X80" i="22"/>
  <c r="L307" i="24"/>
  <c r="K343" i="24"/>
  <c r="V343" i="24" s="1"/>
  <c r="AD9" i="22"/>
  <c r="AD35" i="22"/>
  <c r="AB96" i="22"/>
  <c r="K92" i="22"/>
  <c r="L92" i="22" s="1"/>
  <c r="O96" i="22"/>
  <c r="L116" i="24"/>
  <c r="L131" i="24"/>
  <c r="L162" i="24"/>
  <c r="L177" i="24"/>
  <c r="L204" i="24"/>
  <c r="L241" i="24"/>
  <c r="L250" i="24"/>
  <c r="L277" i="24"/>
  <c r="L279" i="24"/>
  <c r="L328" i="24"/>
  <c r="L342" i="24"/>
  <c r="X82" i="22"/>
  <c r="K352" i="24"/>
  <c r="W62" i="24"/>
  <c r="B13" i="26"/>
  <c r="G13" i="26" s="1"/>
  <c r="B16" i="26"/>
  <c r="G16" i="26" s="1"/>
  <c r="Y93" i="22"/>
  <c r="X93" i="22"/>
  <c r="L240" i="24"/>
  <c r="AD17" i="22"/>
  <c r="O81" i="22"/>
  <c r="L163" i="24"/>
  <c r="Z36" i="22"/>
  <c r="L236" i="24"/>
  <c r="L281" i="24"/>
  <c r="AC84" i="22"/>
  <c r="AC96" i="22"/>
  <c r="K97" i="22"/>
  <c r="L97" i="22" s="1"/>
  <c r="K83" i="22"/>
  <c r="L83" i="22" s="1"/>
  <c r="X81" i="22"/>
  <c r="Z13" i="22"/>
  <c r="Z10" i="22"/>
  <c r="P13" i="22"/>
  <c r="Z17" i="22"/>
  <c r="Z9" i="22"/>
  <c r="Z42" i="22"/>
  <c r="Z47" i="22"/>
  <c r="Y96" i="22"/>
  <c r="Y95" i="22"/>
  <c r="K96" i="22"/>
  <c r="L96" i="22" s="1"/>
  <c r="AB90" i="22"/>
  <c r="K81" i="22"/>
  <c r="L81" i="22" s="1"/>
  <c r="Y90" i="22"/>
  <c r="X97" i="22"/>
  <c r="O93" i="22"/>
  <c r="L62" i="24"/>
  <c r="L112" i="24"/>
  <c r="L155" i="24"/>
  <c r="L183" i="24"/>
  <c r="L237" i="24"/>
  <c r="V228" i="24"/>
  <c r="W228" i="24" s="1"/>
  <c r="W279" i="24"/>
  <c r="K362" i="24"/>
  <c r="V362" i="24" s="1"/>
  <c r="X85" i="22"/>
  <c r="B14" i="26"/>
  <c r="G14" i="26" s="1"/>
  <c r="B15" i="26"/>
  <c r="G15" i="26" s="1"/>
  <c r="B18" i="26"/>
  <c r="G18" i="26" s="1"/>
  <c r="Y83" i="22"/>
  <c r="L189" i="24"/>
  <c r="AC86" i="22"/>
  <c r="L283" i="24"/>
  <c r="L23" i="22"/>
  <c r="L41" i="22"/>
  <c r="AC83" i="22"/>
  <c r="K93" i="22"/>
  <c r="L93" i="22" s="1"/>
  <c r="AB83" i="22"/>
  <c r="J91" i="22"/>
  <c r="Y85" i="22"/>
  <c r="X86" i="22"/>
  <c r="L54" i="24"/>
  <c r="W283" i="24"/>
  <c r="X92" i="22"/>
  <c r="K358" i="24"/>
  <c r="V358" i="24" s="1"/>
  <c r="L10" i="22"/>
  <c r="O97" i="22"/>
  <c r="P97" i="22" s="1"/>
  <c r="V53" i="24"/>
  <c r="W53" i="24" s="1"/>
  <c r="Z8" i="22"/>
  <c r="AD14" i="22"/>
  <c r="L74" i="22"/>
  <c r="L65" i="22"/>
  <c r="Z64" i="22"/>
  <c r="Z71" i="22"/>
  <c r="AC95" i="22"/>
  <c r="AC80" i="22"/>
  <c r="O86" i="22"/>
  <c r="Y82" i="22"/>
  <c r="AC93" i="22"/>
  <c r="Y94" i="22"/>
  <c r="AB95" i="22"/>
  <c r="K90" i="22"/>
  <c r="L90" i="22" s="1"/>
  <c r="K86" i="22"/>
  <c r="L86" i="22" s="1"/>
  <c r="AB80" i="22"/>
  <c r="AD80" i="22" s="1"/>
  <c r="Y86" i="22"/>
  <c r="X96" i="22"/>
  <c r="O80" i="22"/>
  <c r="L38" i="24"/>
  <c r="U91" i="24"/>
  <c r="W91" i="24" s="1"/>
  <c r="L104" i="24"/>
  <c r="L135" i="24"/>
  <c r="L182" i="24"/>
  <c r="L233" i="24"/>
  <c r="L269" i="24"/>
  <c r="L282" i="24"/>
  <c r="K119" i="24"/>
  <c r="V119" i="24" s="1"/>
  <c r="Z43" i="22"/>
  <c r="B12" i="26"/>
  <c r="G12" i="26" s="1"/>
  <c r="B17" i="26"/>
  <c r="G17" i="26" s="1"/>
  <c r="W104" i="24"/>
  <c r="E24" i="22"/>
  <c r="E100" i="22" s="1"/>
  <c r="E98" i="22"/>
  <c r="AC85" i="22"/>
  <c r="V42" i="24"/>
  <c r="W42" i="24" s="1"/>
  <c r="E96" i="24"/>
  <c r="E370" i="24" s="1"/>
  <c r="E368" i="24"/>
  <c r="L203" i="24"/>
  <c r="C345" i="24"/>
  <c r="K345" i="24" s="1"/>
  <c r="V345" i="24" s="1"/>
  <c r="O88" i="22"/>
  <c r="P88" i="22" s="1"/>
  <c r="L120" i="24"/>
  <c r="F368" i="24"/>
  <c r="B6" i="26"/>
  <c r="G6" i="26" s="1"/>
  <c r="K360" i="24"/>
  <c r="J360" i="24"/>
  <c r="K359" i="24"/>
  <c r="V359" i="24" s="1"/>
  <c r="J359" i="24"/>
  <c r="U359" i="24" s="1"/>
  <c r="L195" i="24"/>
  <c r="AD10" i="22"/>
  <c r="J293" i="24"/>
  <c r="U293" i="24" s="1"/>
  <c r="W143" i="24"/>
  <c r="C24" i="22"/>
  <c r="AB24" i="22" s="1"/>
  <c r="C98" i="22"/>
  <c r="N98" i="22" s="1"/>
  <c r="AB91" i="22"/>
  <c r="L151" i="24"/>
  <c r="Z7" i="22"/>
  <c r="V262" i="24"/>
  <c r="W262" i="24" s="1"/>
  <c r="X84" i="22"/>
  <c r="K354" i="24"/>
  <c r="V354" i="24" s="1"/>
  <c r="P23" i="22"/>
  <c r="P10" i="22"/>
  <c r="L68" i="22"/>
  <c r="L64" i="22"/>
  <c r="L63" i="22"/>
  <c r="AC99" i="22"/>
  <c r="AC82" i="22"/>
  <c r="AB99" i="22"/>
  <c r="AB82" i="22"/>
  <c r="Y89" i="22"/>
  <c r="O82" i="22"/>
  <c r="X87" i="22"/>
  <c r="X94" i="22"/>
  <c r="O87" i="22"/>
  <c r="L113" i="24"/>
  <c r="C121" i="24"/>
  <c r="J121" i="24" s="1"/>
  <c r="L143" i="24"/>
  <c r="L128" i="24"/>
  <c r="L154" i="24"/>
  <c r="W189" i="24"/>
  <c r="L265" i="24"/>
  <c r="W253" i="24"/>
  <c r="V338" i="24"/>
  <c r="W338" i="24" s="1"/>
  <c r="J354" i="24"/>
  <c r="K357" i="24"/>
  <c r="K365" i="24"/>
  <c r="V365" i="24" s="1"/>
  <c r="F370" i="24"/>
  <c r="J353" i="24"/>
  <c r="U353" i="24" s="1"/>
  <c r="K353" i="24"/>
  <c r="V353" i="24" s="1"/>
  <c r="B19" i="26"/>
  <c r="G19" i="26" s="1"/>
  <c r="Z32" i="22"/>
  <c r="L229" i="24"/>
  <c r="D23" i="24"/>
  <c r="D370" i="24" s="1"/>
  <c r="D368" i="24"/>
  <c r="P7" i="22"/>
  <c r="F24" i="22"/>
  <c r="F100" i="22" s="1"/>
  <c r="F98" i="22"/>
  <c r="AC91" i="22"/>
  <c r="K91" i="22"/>
  <c r="Y91" i="22"/>
  <c r="J119" i="24"/>
  <c r="V215" i="24"/>
  <c r="W215" i="24" s="1"/>
  <c r="V332" i="24"/>
  <c r="W332" i="24" s="1"/>
  <c r="I37" i="2"/>
  <c r="AC89" i="22"/>
  <c r="K99" i="22"/>
  <c r="L99" i="22" s="1"/>
  <c r="K94" i="22"/>
  <c r="L94" i="22" s="1"/>
  <c r="K82" i="22"/>
  <c r="L82" i="22" s="1"/>
  <c r="Y88" i="22"/>
  <c r="Y99" i="22"/>
  <c r="L30" i="24"/>
  <c r="L34" i="24"/>
  <c r="L58" i="24"/>
  <c r="L84" i="24"/>
  <c r="L158" i="24"/>
  <c r="L190" i="24"/>
  <c r="L258" i="24"/>
  <c r="L325" i="24"/>
  <c r="B11" i="26"/>
  <c r="G11" i="26" s="1"/>
  <c r="C23" i="24"/>
  <c r="C368" i="24"/>
  <c r="L333" i="24"/>
  <c r="I38" i="2"/>
  <c r="K351" i="24"/>
  <c r="J351" i="24"/>
  <c r="P6" i="22"/>
  <c r="P15" i="22"/>
  <c r="O91" i="22"/>
  <c r="P91" i="22" s="1"/>
  <c r="AD6" i="22"/>
  <c r="AD13" i="22"/>
  <c r="AC92" i="22"/>
  <c r="Y92" i="22"/>
  <c r="L117" i="24"/>
  <c r="C295" i="24"/>
  <c r="J295" i="24" s="1"/>
  <c r="J367" i="24"/>
  <c r="N366" i="24" s="1"/>
  <c r="J361" i="24"/>
  <c r="U361" i="24" s="1"/>
  <c r="K361" i="24"/>
  <c r="V361" i="24" s="1"/>
  <c r="AD7" i="22"/>
  <c r="P9" i="22"/>
  <c r="L45" i="22"/>
  <c r="AC88" i="22"/>
  <c r="AB85" i="22"/>
  <c r="O99" i="22"/>
  <c r="P99" i="22" s="1"/>
  <c r="L109" i="24"/>
  <c r="L108" i="24"/>
  <c r="L127" i="24"/>
  <c r="L238" i="24"/>
  <c r="L302" i="24"/>
  <c r="L336" i="24"/>
  <c r="D15" i="25"/>
  <c r="U327" i="24"/>
  <c r="L327" i="24"/>
  <c r="U330" i="24"/>
  <c r="W330" i="24" s="1"/>
  <c r="L330" i="24"/>
  <c r="U331" i="24"/>
  <c r="W331" i="24" s="1"/>
  <c r="L331" i="24"/>
  <c r="U344" i="24"/>
  <c r="W344" i="24" s="1"/>
  <c r="L344" i="24"/>
  <c r="U335" i="24"/>
  <c r="L335" i="24"/>
  <c r="U326" i="24"/>
  <c r="L326" i="24"/>
  <c r="U340" i="24"/>
  <c r="W340" i="24" s="1"/>
  <c r="L340" i="24"/>
  <c r="U343" i="24"/>
  <c r="U334" i="24"/>
  <c r="W334" i="24" s="1"/>
  <c r="L334" i="24"/>
  <c r="L315" i="24"/>
  <c r="U317" i="24"/>
  <c r="W317" i="24" s="1"/>
  <c r="L317" i="24"/>
  <c r="U316" i="24"/>
  <c r="W316" i="24" s="1"/>
  <c r="L316" i="24"/>
  <c r="U313" i="24"/>
  <c r="L313" i="24"/>
  <c r="U309" i="24"/>
  <c r="W309" i="24" s="1"/>
  <c r="L309" i="24"/>
  <c r="U312" i="24"/>
  <c r="W312" i="24" s="1"/>
  <c r="L312" i="24"/>
  <c r="U304" i="24"/>
  <c r="W304" i="24" s="1"/>
  <c r="L304" i="24"/>
  <c r="K318" i="24"/>
  <c r="V318" i="24" s="1"/>
  <c r="J318" i="24"/>
  <c r="C320" i="24"/>
  <c r="U305" i="24"/>
  <c r="W305" i="24" s="1"/>
  <c r="L305" i="24"/>
  <c r="U301" i="24"/>
  <c r="L301" i="24"/>
  <c r="U308" i="24"/>
  <c r="W308" i="24" s="1"/>
  <c r="L308" i="24"/>
  <c r="U300" i="24"/>
  <c r="L300" i="24"/>
  <c r="U292" i="24"/>
  <c r="W292" i="24" s="1"/>
  <c r="L292" i="24"/>
  <c r="U275" i="24"/>
  <c r="L275" i="24"/>
  <c r="U288" i="24"/>
  <c r="L288" i="24"/>
  <c r="U284" i="24"/>
  <c r="W284" i="24" s="1"/>
  <c r="L284" i="24"/>
  <c r="U291" i="24"/>
  <c r="L291" i="24"/>
  <c r="U280" i="24"/>
  <c r="W280" i="24" s="1"/>
  <c r="L280" i="24"/>
  <c r="L278" i="24"/>
  <c r="U278" i="24"/>
  <c r="W278" i="24" s="1"/>
  <c r="U276" i="24"/>
  <c r="W276" i="24" s="1"/>
  <c r="L276" i="24"/>
  <c r="L253" i="24"/>
  <c r="L256" i="24"/>
  <c r="U256" i="24"/>
  <c r="W256" i="24" s="1"/>
  <c r="L264" i="24"/>
  <c r="U264" i="24"/>
  <c r="W264" i="24" s="1"/>
  <c r="U260" i="24"/>
  <c r="L260" i="24"/>
  <c r="U267" i="24"/>
  <c r="W267" i="24" s="1"/>
  <c r="L267" i="24"/>
  <c r="U251" i="24"/>
  <c r="L251" i="24"/>
  <c r="U263" i="24"/>
  <c r="L263" i="24"/>
  <c r="K268" i="24"/>
  <c r="V268" i="24" s="1"/>
  <c r="C270" i="24"/>
  <c r="J268" i="24"/>
  <c r="U254" i="24"/>
  <c r="W254" i="24" s="1"/>
  <c r="L254" i="24"/>
  <c r="U259" i="24"/>
  <c r="W259" i="24" s="1"/>
  <c r="L259" i="24"/>
  <c r="U255" i="24"/>
  <c r="W255" i="24" s="1"/>
  <c r="L255" i="24"/>
  <c r="U252" i="24"/>
  <c r="L252" i="24"/>
  <c r="U239" i="24"/>
  <c r="L239" i="24"/>
  <c r="U235" i="24"/>
  <c r="W235" i="24" s="1"/>
  <c r="L235" i="24"/>
  <c r="U227" i="24"/>
  <c r="L227" i="24"/>
  <c r="U226" i="24"/>
  <c r="L226" i="24"/>
  <c r="U230" i="24"/>
  <c r="W230" i="24" s="1"/>
  <c r="L230" i="24"/>
  <c r="K244" i="24"/>
  <c r="V244" i="24" s="1"/>
  <c r="C246" i="24"/>
  <c r="J244" i="24"/>
  <c r="U242" i="24"/>
  <c r="L242" i="24"/>
  <c r="U231" i="24"/>
  <c r="W231" i="24" s="1"/>
  <c r="L231" i="24"/>
  <c r="U243" i="24"/>
  <c r="W243" i="24" s="1"/>
  <c r="L243" i="24"/>
  <c r="L208" i="24"/>
  <c r="L211" i="24"/>
  <c r="L206" i="24"/>
  <c r="U206" i="24"/>
  <c r="W206" i="24" s="1"/>
  <c r="U213" i="24"/>
  <c r="W213" i="24" s="1"/>
  <c r="L213" i="24"/>
  <c r="U205" i="24"/>
  <c r="W205" i="24" s="1"/>
  <c r="L205" i="24"/>
  <c r="U209" i="24"/>
  <c r="W209" i="24" s="1"/>
  <c r="L209" i="24"/>
  <c r="L202" i="24"/>
  <c r="U202" i="24"/>
  <c r="K219" i="24"/>
  <c r="V219" i="24" s="1"/>
  <c r="C221" i="24"/>
  <c r="J219" i="24"/>
  <c r="U218" i="24"/>
  <c r="W218" i="24" s="1"/>
  <c r="L218" i="24"/>
  <c r="U217" i="24"/>
  <c r="L217" i="24"/>
  <c r="U214" i="24"/>
  <c r="L214" i="24"/>
  <c r="U201" i="24"/>
  <c r="L201" i="24"/>
  <c r="U210" i="24"/>
  <c r="W210" i="24" s="1"/>
  <c r="L210" i="24"/>
  <c r="L185" i="24"/>
  <c r="L181" i="24"/>
  <c r="L180" i="24"/>
  <c r="U180" i="24"/>
  <c r="W180" i="24" s="1"/>
  <c r="K194" i="24"/>
  <c r="V194" i="24" s="1"/>
  <c r="J194" i="24"/>
  <c r="C196" i="24"/>
  <c r="U192" i="24"/>
  <c r="L192" i="24"/>
  <c r="L176" i="24"/>
  <c r="U176" i="24"/>
  <c r="U193" i="24"/>
  <c r="W193" i="24" s="1"/>
  <c r="L193" i="24"/>
  <c r="U184" i="24"/>
  <c r="W184" i="24" s="1"/>
  <c r="L184" i="24"/>
  <c r="U188" i="24"/>
  <c r="W188" i="24" s="1"/>
  <c r="L188" i="24"/>
  <c r="J169" i="24"/>
  <c r="U169" i="24" s="1"/>
  <c r="U160" i="24"/>
  <c r="W160" i="24" s="1"/>
  <c r="L160" i="24"/>
  <c r="U167" i="24"/>
  <c r="L167" i="24"/>
  <c r="U157" i="24"/>
  <c r="W157" i="24" s="1"/>
  <c r="L157" i="24"/>
  <c r="U152" i="24"/>
  <c r="L152" i="24"/>
  <c r="K171" i="24"/>
  <c r="V171" i="24" s="1"/>
  <c r="J171" i="24"/>
  <c r="L153" i="24"/>
  <c r="U153" i="24"/>
  <c r="K169" i="24"/>
  <c r="V169" i="24" s="1"/>
  <c r="U156" i="24"/>
  <c r="W156" i="24" s="1"/>
  <c r="L156" i="24"/>
  <c r="U164" i="24"/>
  <c r="L164" i="24"/>
  <c r="U168" i="24"/>
  <c r="W168" i="24" s="1"/>
  <c r="L168" i="24"/>
  <c r="U161" i="24"/>
  <c r="L161" i="24"/>
  <c r="U130" i="24"/>
  <c r="W130" i="24" s="1"/>
  <c r="L130" i="24"/>
  <c r="L126" i="24"/>
  <c r="U126" i="24"/>
  <c r="U133" i="24"/>
  <c r="L133" i="24"/>
  <c r="U129" i="24"/>
  <c r="W129" i="24" s="1"/>
  <c r="L129" i="24"/>
  <c r="U145" i="24"/>
  <c r="W145" i="24" s="1"/>
  <c r="L145" i="24"/>
  <c r="U132" i="24"/>
  <c r="W132" i="24" s="1"/>
  <c r="L132" i="24"/>
  <c r="U141" i="24"/>
  <c r="W141" i="24" s="1"/>
  <c r="L141" i="24"/>
  <c r="U134" i="24"/>
  <c r="W134" i="24" s="1"/>
  <c r="L134" i="24"/>
  <c r="K144" i="24"/>
  <c r="V144" i="24" s="1"/>
  <c r="C146" i="24"/>
  <c r="J144" i="24"/>
  <c r="U137" i="24"/>
  <c r="W137" i="24" s="1"/>
  <c r="L137" i="24"/>
  <c r="L138" i="24"/>
  <c r="U138" i="24"/>
  <c r="W138" i="24" s="1"/>
  <c r="U110" i="24"/>
  <c r="W110" i="24" s="1"/>
  <c r="L110" i="24"/>
  <c r="U111" i="24"/>
  <c r="L111" i="24"/>
  <c r="L115" i="24"/>
  <c r="U115" i="24"/>
  <c r="W115" i="24" s="1"/>
  <c r="L107" i="24"/>
  <c r="U107" i="24"/>
  <c r="W107" i="24" s="1"/>
  <c r="U106" i="24"/>
  <c r="W106" i="24" s="1"/>
  <c r="L106" i="24"/>
  <c r="U103" i="24"/>
  <c r="L103" i="24"/>
  <c r="U118" i="24"/>
  <c r="W118" i="24" s="1"/>
  <c r="L118" i="24"/>
  <c r="U102" i="24"/>
  <c r="L102" i="24"/>
  <c r="U114" i="24"/>
  <c r="L114" i="24"/>
  <c r="L101" i="24"/>
  <c r="L79" i="24"/>
  <c r="L80" i="24"/>
  <c r="L83" i="24"/>
  <c r="U90" i="24"/>
  <c r="W90" i="24" s="1"/>
  <c r="L90" i="24"/>
  <c r="U77" i="24"/>
  <c r="L77" i="24"/>
  <c r="U81" i="24"/>
  <c r="W81" i="24" s="1"/>
  <c r="L81" i="24"/>
  <c r="L82" i="24"/>
  <c r="U82" i="24"/>
  <c r="W82" i="24" s="1"/>
  <c r="U85" i="24"/>
  <c r="W85" i="24" s="1"/>
  <c r="L85" i="24"/>
  <c r="L78" i="24"/>
  <c r="U78" i="24"/>
  <c r="U93" i="24"/>
  <c r="W93" i="24" s="1"/>
  <c r="L93" i="24"/>
  <c r="K94" i="24"/>
  <c r="V94" i="24" s="1"/>
  <c r="C96" i="24"/>
  <c r="J94" i="24"/>
  <c r="L86" i="24"/>
  <c r="U86" i="24"/>
  <c r="U89" i="24"/>
  <c r="L89" i="24"/>
  <c r="L66" i="24"/>
  <c r="W60" i="24"/>
  <c r="W56" i="24"/>
  <c r="U70" i="24"/>
  <c r="W70" i="24" s="1"/>
  <c r="L70" i="24"/>
  <c r="U68" i="24"/>
  <c r="W68" i="24" s="1"/>
  <c r="L68" i="24"/>
  <c r="L59" i="24"/>
  <c r="U59" i="24"/>
  <c r="W59" i="24" s="1"/>
  <c r="U64" i="24"/>
  <c r="L64" i="24"/>
  <c r="L56" i="24"/>
  <c r="K69" i="24"/>
  <c r="V69" i="24" s="1"/>
  <c r="C71" i="24"/>
  <c r="J69" i="24"/>
  <c r="L51" i="24"/>
  <c r="U51" i="24"/>
  <c r="L55" i="24"/>
  <c r="U55" i="24"/>
  <c r="W55" i="24" s="1"/>
  <c r="U63" i="24"/>
  <c r="W63" i="24" s="1"/>
  <c r="L63" i="24"/>
  <c r="L52" i="24"/>
  <c r="W35" i="24"/>
  <c r="U44" i="24"/>
  <c r="W44" i="24" s="1"/>
  <c r="L44" i="24"/>
  <c r="K45" i="24"/>
  <c r="V45" i="24" s="1"/>
  <c r="C47" i="24"/>
  <c r="J45" i="24"/>
  <c r="W31" i="24"/>
  <c r="U46" i="24"/>
  <c r="W46" i="24" s="1"/>
  <c r="L46" i="24"/>
  <c r="L31" i="24"/>
  <c r="L40" i="24"/>
  <c r="U40" i="24"/>
  <c r="L36" i="24"/>
  <c r="U36" i="24"/>
  <c r="W36" i="24" s="1"/>
  <c r="L27" i="24"/>
  <c r="L32" i="24"/>
  <c r="U32" i="24"/>
  <c r="W32" i="24" s="1"/>
  <c r="W27" i="24"/>
  <c r="L28" i="24"/>
  <c r="U28" i="24"/>
  <c r="W28" i="24" s="1"/>
  <c r="L35" i="24"/>
  <c r="L6" i="24"/>
  <c r="U8" i="24"/>
  <c r="W8" i="24" s="1"/>
  <c r="L8" i="24"/>
  <c r="W6" i="24"/>
  <c r="L7" i="24"/>
  <c r="W7" i="24"/>
  <c r="AD68" i="22"/>
  <c r="AD60" i="22"/>
  <c r="AD69" i="22"/>
  <c r="AD61" i="22"/>
  <c r="AD72" i="22"/>
  <c r="AD64" i="22"/>
  <c r="AD56" i="22"/>
  <c r="J73" i="22"/>
  <c r="X73" i="22"/>
  <c r="D75" i="22"/>
  <c r="AD67" i="22"/>
  <c r="AD59" i="22"/>
  <c r="L61" i="22"/>
  <c r="L60" i="22"/>
  <c r="N73" i="22"/>
  <c r="AC73" i="22"/>
  <c r="AB73" i="22"/>
  <c r="K73" i="22"/>
  <c r="Y73" i="22"/>
  <c r="C75" i="22"/>
  <c r="O73" i="22"/>
  <c r="AD70" i="22"/>
  <c r="AD66" i="22"/>
  <c r="AD62" i="22"/>
  <c r="AD58" i="22"/>
  <c r="L59" i="22"/>
  <c r="Z58" i="22"/>
  <c r="L57" i="22"/>
  <c r="Z55" i="22"/>
  <c r="Z62" i="22"/>
  <c r="AD74" i="22"/>
  <c r="AD65" i="22"/>
  <c r="AD57" i="22"/>
  <c r="L56" i="22"/>
  <c r="AD43" i="22"/>
  <c r="Z49" i="22"/>
  <c r="AD38" i="22"/>
  <c r="Z30" i="22"/>
  <c r="AD46" i="22"/>
  <c r="AD37" i="22"/>
  <c r="AD30" i="22"/>
  <c r="AD45" i="22"/>
  <c r="AD33" i="22"/>
  <c r="L40" i="22"/>
  <c r="Z37" i="22"/>
  <c r="AD42" i="22"/>
  <c r="AD36" i="22"/>
  <c r="Z33" i="22"/>
  <c r="Z34" i="22"/>
  <c r="AD34" i="22"/>
  <c r="AD40" i="22"/>
  <c r="AD32" i="22"/>
  <c r="L36" i="22"/>
  <c r="AD44" i="22"/>
  <c r="AD31" i="22"/>
  <c r="L32" i="22"/>
  <c r="J48" i="22"/>
  <c r="X48" i="22"/>
  <c r="D50" i="22"/>
  <c r="AD49" i="22"/>
  <c r="AD47" i="22"/>
  <c r="N48" i="22"/>
  <c r="AC48" i="22"/>
  <c r="AB48" i="22"/>
  <c r="K48" i="22"/>
  <c r="Y48" i="22"/>
  <c r="C50" i="22"/>
  <c r="O48" i="22"/>
  <c r="AD41" i="22"/>
  <c r="Z38" i="22"/>
  <c r="Z39" i="22"/>
  <c r="P11" i="22"/>
  <c r="P20" i="22"/>
  <c r="AD12" i="22"/>
  <c r="Z23" i="22"/>
  <c r="Z21" i="22"/>
  <c r="Z19" i="22"/>
  <c r="P12" i="22"/>
  <c r="Z12" i="22"/>
  <c r="L15" i="22"/>
  <c r="L7" i="22"/>
  <c r="Z5" i="22"/>
  <c r="AD19" i="22"/>
  <c r="AD18" i="22"/>
  <c r="Z4" i="22"/>
  <c r="P21" i="22"/>
  <c r="AD21" i="22"/>
  <c r="Z18" i="22"/>
  <c r="Z20" i="22"/>
  <c r="P18" i="22"/>
  <c r="AD20" i="22"/>
  <c r="L4" i="22"/>
  <c r="P5" i="22"/>
  <c r="J18" i="24"/>
  <c r="K18" i="24"/>
  <c r="V18" i="24" s="1"/>
  <c r="J11" i="24"/>
  <c r="K11" i="24"/>
  <c r="V11" i="24" s="1"/>
  <c r="J4" i="24"/>
  <c r="N6" i="24" s="1"/>
  <c r="K4" i="24"/>
  <c r="J5" i="24"/>
  <c r="N8" i="24" s="1"/>
  <c r="K5" i="24"/>
  <c r="K3" i="24"/>
  <c r="J3" i="24"/>
  <c r="J20" i="24"/>
  <c r="K20" i="24"/>
  <c r="V20" i="24" s="1"/>
  <c r="J22" i="24"/>
  <c r="K22" i="24"/>
  <c r="V22" i="24" s="1"/>
  <c r="K17" i="24"/>
  <c r="V17" i="24" s="1"/>
  <c r="J17" i="24"/>
  <c r="K9" i="24"/>
  <c r="V9" i="24" s="1"/>
  <c r="J9" i="24"/>
  <c r="AD5" i="22"/>
  <c r="J12" i="24"/>
  <c r="K12" i="24"/>
  <c r="V12" i="24" s="1"/>
  <c r="Z6" i="22"/>
  <c r="J10" i="24"/>
  <c r="K10" i="24"/>
  <c r="K16" i="24"/>
  <c r="J16" i="24"/>
  <c r="J19" i="24"/>
  <c r="N19" i="24" s="1"/>
  <c r="K19" i="24"/>
  <c r="L17" i="22"/>
  <c r="O16" i="22"/>
  <c r="S14" i="22" s="1"/>
  <c r="Y16" i="22"/>
  <c r="AC16" i="22"/>
  <c r="N16" i="22"/>
  <c r="R14" i="22" s="1"/>
  <c r="AB16" i="22"/>
  <c r="AD4" i="22"/>
  <c r="P4" i="22"/>
  <c r="L14" i="22"/>
  <c r="L5" i="22"/>
  <c r="AB22" i="22"/>
  <c r="N22" i="22"/>
  <c r="L6" i="22"/>
  <c r="J16" i="22"/>
  <c r="X16" i="22"/>
  <c r="D22" i="22"/>
  <c r="D98" i="22" s="1"/>
  <c r="K16" i="22"/>
  <c r="J18" i="25"/>
  <c r="R18" i="25"/>
  <c r="G18" i="25"/>
  <c r="L18" i="25"/>
  <c r="V18" i="25"/>
  <c r="S18" i="25"/>
  <c r="Y18" i="25"/>
  <c r="I18" i="25"/>
  <c r="N18" i="25"/>
  <c r="P18" i="25"/>
  <c r="Q18" i="25"/>
  <c r="W18" i="25"/>
  <c r="AA18" i="25"/>
  <c r="E18" i="25"/>
  <c r="F18" i="25"/>
  <c r="T18" i="25"/>
  <c r="X18" i="25"/>
  <c r="U18" i="25"/>
  <c r="Z18" i="25"/>
  <c r="K18" i="25"/>
  <c r="H18" i="25"/>
  <c r="C3" i="25"/>
  <c r="C4" i="25"/>
  <c r="C6" i="25"/>
  <c r="C8" i="25"/>
  <c r="K29" i="21"/>
  <c r="C10" i="25"/>
  <c r="C12" i="25"/>
  <c r="C14" i="25"/>
  <c r="C5" i="25"/>
  <c r="C7" i="25"/>
  <c r="B3" i="25"/>
  <c r="C9" i="25"/>
  <c r="C11" i="25"/>
  <c r="C13" i="25"/>
  <c r="C16" i="25"/>
  <c r="K28" i="21"/>
  <c r="L27" i="21"/>
  <c r="M27" i="21" s="1"/>
  <c r="K25" i="21"/>
  <c r="K24" i="21"/>
  <c r="K23" i="21"/>
  <c r="L22" i="21"/>
  <c r="M22" i="21" s="1"/>
  <c r="K27" i="21"/>
  <c r="K22" i="21"/>
  <c r="L25" i="21"/>
  <c r="M25" i="21" s="1"/>
  <c r="L29" i="21"/>
  <c r="M29" i="21" s="1"/>
  <c r="L24" i="21"/>
  <c r="M24" i="21" s="1"/>
  <c r="L28" i="21"/>
  <c r="M28" i="21" s="1"/>
  <c r="L23" i="21"/>
  <c r="M23" i="21" s="1"/>
  <c r="K16" i="21"/>
  <c r="L16" i="21"/>
  <c r="M16" i="21" s="1"/>
  <c r="L15" i="21"/>
  <c r="M15" i="21" s="1"/>
  <c r="K15" i="21"/>
  <c r="B16" i="25"/>
  <c r="B14" i="25"/>
  <c r="B13" i="25"/>
  <c r="B12" i="25"/>
  <c r="B11" i="25"/>
  <c r="B10" i="25"/>
  <c r="B9" i="25"/>
  <c r="B8" i="25"/>
  <c r="B7" i="25"/>
  <c r="B6" i="25"/>
  <c r="B5" i="25"/>
  <c r="B4" i="25"/>
  <c r="L14" i="21"/>
  <c r="M14" i="21" s="1"/>
  <c r="L4" i="21"/>
  <c r="M4" i="21" s="1"/>
  <c r="L5" i="21"/>
  <c r="M5" i="21" s="1"/>
  <c r="L6" i="21"/>
  <c r="M6" i="21" s="1"/>
  <c r="L8" i="21"/>
  <c r="M8" i="21" s="1"/>
  <c r="L7" i="21"/>
  <c r="M7" i="21" s="1"/>
  <c r="L11" i="21"/>
  <c r="M11" i="21" s="1"/>
  <c r="L9" i="21"/>
  <c r="M9" i="21" s="1"/>
  <c r="L10" i="21"/>
  <c r="M10" i="21" s="1"/>
  <c r="K14" i="21"/>
  <c r="K9" i="21"/>
  <c r="K10" i="21"/>
  <c r="K7" i="21"/>
  <c r="K8" i="21"/>
  <c r="K5" i="21"/>
  <c r="K6" i="21"/>
  <c r="K4" i="21"/>
  <c r="W291" i="24" l="1"/>
  <c r="W176" i="24"/>
  <c r="W158" i="24"/>
  <c r="W64" i="24"/>
  <c r="W260" i="24"/>
  <c r="P303" i="24"/>
  <c r="P326" i="24"/>
  <c r="W288" i="24"/>
  <c r="P278" i="24"/>
  <c r="W164" i="24"/>
  <c r="W325" i="24"/>
  <c r="P227" i="24"/>
  <c r="P328" i="24"/>
  <c r="W126" i="24"/>
  <c r="W103" i="24"/>
  <c r="W89" i="24"/>
  <c r="W78" i="24"/>
  <c r="P214" i="24"/>
  <c r="W139" i="24"/>
  <c r="W211" i="24"/>
  <c r="W34" i="24"/>
  <c r="W114" i="24"/>
  <c r="W263" i="24"/>
  <c r="W208" i="24"/>
  <c r="W335" i="24"/>
  <c r="W177" i="24"/>
  <c r="W327" i="24"/>
  <c r="W252" i="24"/>
  <c r="L88" i="22"/>
  <c r="S18" i="29"/>
  <c r="S19" i="29"/>
  <c r="P108" i="24"/>
  <c r="P167" i="24"/>
  <c r="P263" i="24"/>
  <c r="P114" i="24"/>
  <c r="W202" i="24"/>
  <c r="W239" i="24"/>
  <c r="W183" i="24"/>
  <c r="W203" i="24"/>
  <c r="N10" i="24"/>
  <c r="P229" i="24"/>
  <c r="W250" i="24"/>
  <c r="S4" i="29"/>
  <c r="W152" i="24"/>
  <c r="W313" i="24"/>
  <c r="W86" i="24"/>
  <c r="W77" i="24"/>
  <c r="W153" i="24"/>
  <c r="W275" i="24"/>
  <c r="W51" i="24"/>
  <c r="W300" i="24"/>
  <c r="W58" i="24"/>
  <c r="W111" i="24"/>
  <c r="W217" i="24"/>
  <c r="W192" i="24"/>
  <c r="W227" i="24"/>
  <c r="W201" i="24"/>
  <c r="W251" i="24"/>
  <c r="W326" i="24"/>
  <c r="W161" i="24"/>
  <c r="W301" i="24"/>
  <c r="W102" i="24"/>
  <c r="W133" i="24"/>
  <c r="W214" i="24"/>
  <c r="W226" i="24"/>
  <c r="P52" i="24"/>
  <c r="P154" i="24"/>
  <c r="P231" i="24"/>
  <c r="P251" i="24"/>
  <c r="P30" i="24"/>
  <c r="P43" i="24"/>
  <c r="O363" i="24"/>
  <c r="P363" i="24" s="1"/>
  <c r="P89" i="24"/>
  <c r="P233" i="24"/>
  <c r="P56" i="24"/>
  <c r="P156" i="24"/>
  <c r="T14" i="22"/>
  <c r="D18" i="26"/>
  <c r="R14" i="29"/>
  <c r="R13" i="29"/>
  <c r="R5" i="29"/>
  <c r="P208" i="24"/>
  <c r="P158" i="24"/>
  <c r="P58" i="24"/>
  <c r="P179" i="24"/>
  <c r="V351" i="24"/>
  <c r="O353" i="24"/>
  <c r="R9" i="29"/>
  <c r="V4" i="24"/>
  <c r="O6" i="24"/>
  <c r="D19" i="26"/>
  <c r="P87" i="22"/>
  <c r="S87" i="22"/>
  <c r="T87" i="22" s="1"/>
  <c r="S81" i="22"/>
  <c r="T81" i="22" s="1"/>
  <c r="D15" i="26"/>
  <c r="R11" i="29"/>
  <c r="P186" i="24"/>
  <c r="P242" i="24"/>
  <c r="P236" i="24"/>
  <c r="P310" i="24"/>
  <c r="P192" i="24"/>
  <c r="T9" i="22"/>
  <c r="T40" i="22"/>
  <c r="P79" i="24"/>
  <c r="P129" i="24"/>
  <c r="P164" i="24"/>
  <c r="T46" i="22"/>
  <c r="T43" i="22"/>
  <c r="P131" i="24"/>
  <c r="P266" i="24"/>
  <c r="V5" i="24"/>
  <c r="O8" i="24"/>
  <c r="P260" i="24"/>
  <c r="W167" i="24"/>
  <c r="D14" i="26"/>
  <c r="D16" i="26"/>
  <c r="V350" i="24"/>
  <c r="W350" i="24" s="1"/>
  <c r="O351" i="24"/>
  <c r="R16" i="29"/>
  <c r="R8" i="29"/>
  <c r="R18" i="29"/>
  <c r="P335" i="24"/>
  <c r="P161" i="24"/>
  <c r="P136" i="24"/>
  <c r="P291" i="24"/>
  <c r="P181" i="24"/>
  <c r="P102" i="24"/>
  <c r="W40" i="24"/>
  <c r="D13" i="26"/>
  <c r="P96" i="22"/>
  <c r="S96" i="22"/>
  <c r="T96" i="22" s="1"/>
  <c r="P90" i="22"/>
  <c r="S90" i="22"/>
  <c r="T90" i="22" s="1"/>
  <c r="P139" i="24"/>
  <c r="T31" i="22"/>
  <c r="N355" i="24"/>
  <c r="T20" i="22"/>
  <c r="P37" i="24"/>
  <c r="N357" i="24"/>
  <c r="T37" i="22"/>
  <c r="P206" i="24"/>
  <c r="P92" i="24"/>
  <c r="D6" i="26"/>
  <c r="T35" i="22"/>
  <c r="D11" i="26"/>
  <c r="P82" i="22"/>
  <c r="S85" i="22"/>
  <c r="T85" i="22" s="1"/>
  <c r="V366" i="24"/>
  <c r="W366" i="24" s="1"/>
  <c r="O366" i="24"/>
  <c r="P366" i="24" s="1"/>
  <c r="R6" i="29"/>
  <c r="R7" i="29"/>
  <c r="R19" i="29"/>
  <c r="P54" i="24"/>
  <c r="P127" i="24"/>
  <c r="P253" i="24"/>
  <c r="P104" i="24"/>
  <c r="P285" i="24"/>
  <c r="P86" i="24"/>
  <c r="P34" i="24"/>
  <c r="P142" i="24"/>
  <c r="P111" i="24"/>
  <c r="P217" i="24"/>
  <c r="P239" i="24"/>
  <c r="P64" i="24"/>
  <c r="P106" i="24"/>
  <c r="T17" i="22"/>
  <c r="P67" i="24"/>
  <c r="P77" i="24"/>
  <c r="V10" i="24"/>
  <c r="O10" i="24"/>
  <c r="P10" i="24" s="1"/>
  <c r="N16" i="24"/>
  <c r="N4" i="24"/>
  <c r="U360" i="24"/>
  <c r="N360" i="24"/>
  <c r="D17" i="26"/>
  <c r="P93" i="22"/>
  <c r="S93" i="22"/>
  <c r="T93" i="22" s="1"/>
  <c r="P81" i="22"/>
  <c r="S83" i="22"/>
  <c r="T83" i="22" s="1"/>
  <c r="O355" i="24"/>
  <c r="R10" i="29"/>
  <c r="P351" i="24"/>
  <c r="P316" i="24"/>
  <c r="P13" i="24"/>
  <c r="P255" i="24"/>
  <c r="T65" i="22"/>
  <c r="T5" i="22"/>
  <c r="P32" i="24"/>
  <c r="P61" i="24"/>
  <c r="P204" i="24"/>
  <c r="P28" i="24"/>
  <c r="P183" i="24"/>
  <c r="P280" i="24"/>
  <c r="V19" i="24"/>
  <c r="O19" i="24"/>
  <c r="V16" i="24"/>
  <c r="O16" i="24"/>
  <c r="V3" i="24"/>
  <c r="O4" i="24"/>
  <c r="W242" i="24"/>
  <c r="U351" i="24"/>
  <c r="N353" i="24"/>
  <c r="O357" i="24"/>
  <c r="V360" i="24"/>
  <c r="O360" i="24"/>
  <c r="D12" i="26"/>
  <c r="R17" i="29"/>
  <c r="R20" i="29"/>
  <c r="R12" i="29"/>
  <c r="P189" i="24"/>
  <c r="P211" i="24"/>
  <c r="P133" i="24"/>
  <c r="T33" i="22"/>
  <c r="P81" i="24"/>
  <c r="T11" i="22"/>
  <c r="P117" i="24"/>
  <c r="P89" i="22"/>
  <c r="P92" i="22"/>
  <c r="P86" i="22"/>
  <c r="P80" i="22"/>
  <c r="F23" i="29"/>
  <c r="D21" i="29"/>
  <c r="V369" i="24"/>
  <c r="W369" i="24" s="1"/>
  <c r="L23" i="29"/>
  <c r="E23" i="29"/>
  <c r="AD89" i="22"/>
  <c r="H23" i="29"/>
  <c r="J23" i="29"/>
  <c r="L367" i="24"/>
  <c r="U367" i="24"/>
  <c r="W367" i="24" s="1"/>
  <c r="V356" i="24"/>
  <c r="V355" i="24"/>
  <c r="W355" i="24" s="1"/>
  <c r="K23" i="29"/>
  <c r="AD87" i="22"/>
  <c r="Q21" i="29"/>
  <c r="R4" i="29"/>
  <c r="V352" i="24"/>
  <c r="W352" i="24" s="1"/>
  <c r="I23" i="29"/>
  <c r="V357" i="24"/>
  <c r="L354" i="24"/>
  <c r="U354" i="24"/>
  <c r="W354" i="24" s="1"/>
  <c r="V363" i="24"/>
  <c r="Z88" i="22"/>
  <c r="L119" i="24"/>
  <c r="AD88" i="22"/>
  <c r="Z94" i="22"/>
  <c r="W364" i="24"/>
  <c r="L358" i="24"/>
  <c r="W358" i="24"/>
  <c r="Z84" i="22"/>
  <c r="L363" i="24"/>
  <c r="Z93" i="22"/>
  <c r="AD82" i="22"/>
  <c r="AD95" i="22"/>
  <c r="AD86" i="22"/>
  <c r="K121" i="24"/>
  <c r="V121" i="24" s="1"/>
  <c r="Z99" i="22"/>
  <c r="AD97" i="22"/>
  <c r="AD94" i="22"/>
  <c r="L366" i="24"/>
  <c r="L356" i="24"/>
  <c r="L355" i="24"/>
  <c r="L84" i="22"/>
  <c r="L364" i="24"/>
  <c r="AD91" i="22"/>
  <c r="Z95" i="22"/>
  <c r="AD81" i="22"/>
  <c r="Z81" i="22"/>
  <c r="AD84" i="22"/>
  <c r="L293" i="24"/>
  <c r="AD48" i="22"/>
  <c r="W293" i="24"/>
  <c r="AD93" i="22"/>
  <c r="AD90" i="22"/>
  <c r="L369" i="24"/>
  <c r="Z89" i="22"/>
  <c r="Z86" i="22"/>
  <c r="Z80" i="22"/>
  <c r="Z92" i="22"/>
  <c r="Z91" i="22"/>
  <c r="Z97" i="22"/>
  <c r="B22" i="26"/>
  <c r="L24" i="26" s="1"/>
  <c r="L343" i="24"/>
  <c r="AD92" i="22"/>
  <c r="AD83" i="22"/>
  <c r="Z83" i="22"/>
  <c r="Z90" i="22"/>
  <c r="AD96" i="22"/>
  <c r="P48" i="22"/>
  <c r="W343" i="24"/>
  <c r="AB98" i="22"/>
  <c r="L91" i="22"/>
  <c r="Z82" i="22"/>
  <c r="W362" i="24"/>
  <c r="AD99" i="22"/>
  <c r="K295" i="24"/>
  <c r="V295" i="24" s="1"/>
  <c r="L362" i="24"/>
  <c r="L350" i="24"/>
  <c r="Z87" i="22"/>
  <c r="Z96" i="22"/>
  <c r="C370" i="24"/>
  <c r="J370" i="24" s="1"/>
  <c r="U370" i="24" s="1"/>
  <c r="D14" i="25"/>
  <c r="O98" i="22"/>
  <c r="P98" i="22" s="1"/>
  <c r="AD85" i="22"/>
  <c r="U119" i="24"/>
  <c r="W119" i="24" s="1"/>
  <c r="L352" i="24"/>
  <c r="Z85" i="22"/>
  <c r="W361" i="24"/>
  <c r="L361" i="24"/>
  <c r="W353" i="24"/>
  <c r="L353" i="24"/>
  <c r="W365" i="24"/>
  <c r="L365" i="24"/>
  <c r="W359" i="24"/>
  <c r="L359" i="24"/>
  <c r="J98" i="22"/>
  <c r="C100" i="22"/>
  <c r="AB100" i="22" s="1"/>
  <c r="K98" i="22"/>
  <c r="AC98" i="22"/>
  <c r="AF98" i="22" s="1"/>
  <c r="L360" i="24"/>
  <c r="L357" i="24"/>
  <c r="Y98" i="22"/>
  <c r="X98" i="22"/>
  <c r="J345" i="24"/>
  <c r="L345" i="24" s="1"/>
  <c r="L351" i="24"/>
  <c r="N24" i="22"/>
  <c r="J368" i="24"/>
  <c r="U368" i="24" s="1"/>
  <c r="K368" i="24"/>
  <c r="V368" i="24" s="1"/>
  <c r="AB368" i="24" s="1"/>
  <c r="U318" i="24"/>
  <c r="W318" i="24" s="1"/>
  <c r="L318" i="24"/>
  <c r="K320" i="24"/>
  <c r="V320" i="24" s="1"/>
  <c r="J320" i="24"/>
  <c r="U295" i="24"/>
  <c r="K270" i="24"/>
  <c r="V270" i="24" s="1"/>
  <c r="J270" i="24"/>
  <c r="L268" i="24"/>
  <c r="U268" i="24"/>
  <c r="W268" i="24" s="1"/>
  <c r="U244" i="24"/>
  <c r="W244" i="24" s="1"/>
  <c r="L244" i="24"/>
  <c r="K246" i="24"/>
  <c r="V246" i="24" s="1"/>
  <c r="J246" i="24"/>
  <c r="L219" i="24"/>
  <c r="U219" i="24"/>
  <c r="W219" i="24" s="1"/>
  <c r="K221" i="24"/>
  <c r="V221" i="24" s="1"/>
  <c r="J221" i="24"/>
  <c r="K196" i="24"/>
  <c r="V196" i="24" s="1"/>
  <c r="J196" i="24"/>
  <c r="U194" i="24"/>
  <c r="W194" i="24" s="1"/>
  <c r="L194" i="24"/>
  <c r="L169" i="24"/>
  <c r="W169" i="24"/>
  <c r="U171" i="24"/>
  <c r="W171" i="24" s="1"/>
  <c r="L171" i="24"/>
  <c r="U144" i="24"/>
  <c r="W144" i="24" s="1"/>
  <c r="L144" i="24"/>
  <c r="K146" i="24"/>
  <c r="V146" i="24" s="1"/>
  <c r="J146" i="24"/>
  <c r="U121" i="24"/>
  <c r="J96" i="24"/>
  <c r="K96" i="24"/>
  <c r="V96" i="24" s="1"/>
  <c r="U94" i="24"/>
  <c r="W94" i="24" s="1"/>
  <c r="L94" i="24"/>
  <c r="U69" i="24"/>
  <c r="W69" i="24" s="1"/>
  <c r="L69" i="24"/>
  <c r="K71" i="24"/>
  <c r="V71" i="24" s="1"/>
  <c r="J71" i="24"/>
  <c r="U45" i="24"/>
  <c r="W45" i="24" s="1"/>
  <c r="L45" i="24"/>
  <c r="K47" i="24"/>
  <c r="V47" i="24" s="1"/>
  <c r="J47" i="24"/>
  <c r="K23" i="24"/>
  <c r="V23" i="24" s="1"/>
  <c r="J23" i="24"/>
  <c r="AD73" i="22"/>
  <c r="Z73" i="22"/>
  <c r="N75" i="22"/>
  <c r="AC75" i="22"/>
  <c r="AB75" i="22"/>
  <c r="K75" i="22"/>
  <c r="Y75" i="22"/>
  <c r="O75" i="22"/>
  <c r="X75" i="22"/>
  <c r="J75" i="22"/>
  <c r="L73" i="22"/>
  <c r="P73" i="22"/>
  <c r="N50" i="22"/>
  <c r="AC50" i="22"/>
  <c r="AB50" i="22"/>
  <c r="K50" i="22"/>
  <c r="Y50" i="22"/>
  <c r="O50" i="22"/>
  <c r="J50" i="22"/>
  <c r="X50" i="22"/>
  <c r="Z48" i="22"/>
  <c r="L48" i="22"/>
  <c r="X22" i="22"/>
  <c r="D24" i="22"/>
  <c r="D100" i="22" s="1"/>
  <c r="X100" i="22" s="1"/>
  <c r="D16" i="25"/>
  <c r="Z16" i="22"/>
  <c r="P16" i="22"/>
  <c r="Y22" i="22"/>
  <c r="U17" i="24"/>
  <c r="W17" i="24" s="1"/>
  <c r="L17" i="24"/>
  <c r="U10" i="24"/>
  <c r="L10" i="24"/>
  <c r="L5" i="24"/>
  <c r="U5" i="24"/>
  <c r="J21" i="24"/>
  <c r="K21" i="24"/>
  <c r="V21" i="24" s="1"/>
  <c r="L16" i="22"/>
  <c r="L22" i="24"/>
  <c r="U22" i="24"/>
  <c r="W22" i="24" s="1"/>
  <c r="L4" i="24"/>
  <c r="U4" i="24"/>
  <c r="L12" i="24"/>
  <c r="U12" i="24"/>
  <c r="W12" i="24" s="1"/>
  <c r="O22" i="22"/>
  <c r="P22" i="22" s="1"/>
  <c r="U19" i="24"/>
  <c r="L19" i="24"/>
  <c r="L20" i="24"/>
  <c r="U20" i="24"/>
  <c r="W20" i="24" s="1"/>
  <c r="U11" i="24"/>
  <c r="W11" i="24" s="1"/>
  <c r="L11" i="24"/>
  <c r="J22" i="22"/>
  <c r="AD16" i="22"/>
  <c r="L16" i="24"/>
  <c r="U16" i="24"/>
  <c r="U9" i="24"/>
  <c r="W9" i="24" s="1"/>
  <c r="L9" i="24"/>
  <c r="L3" i="24"/>
  <c r="U3" i="24"/>
  <c r="K22" i="22"/>
  <c r="AC22" i="22"/>
  <c r="AD22" i="22" s="1"/>
  <c r="U18" i="24"/>
  <c r="W18" i="24" s="1"/>
  <c r="L18" i="24"/>
  <c r="D4" i="25"/>
  <c r="D5" i="25"/>
  <c r="D7" i="25"/>
  <c r="D3" i="25"/>
  <c r="D13" i="25"/>
  <c r="C18" i="25"/>
  <c r="Q21" i="25" s="1"/>
  <c r="D6" i="25"/>
  <c r="D10" i="25"/>
  <c r="B18" i="25"/>
  <c r="M21" i="25" s="1"/>
  <c r="D8" i="25"/>
  <c r="D9" i="25"/>
  <c r="D11" i="25"/>
  <c r="D12" i="25"/>
  <c r="P360" i="24" l="1"/>
  <c r="W3" i="24"/>
  <c r="W4" i="24"/>
  <c r="W360" i="24"/>
  <c r="W351" i="24"/>
  <c r="P353" i="24"/>
  <c r="P6" i="24"/>
  <c r="W16" i="24"/>
  <c r="W5" i="24"/>
  <c r="W10" i="24"/>
  <c r="W19" i="24"/>
  <c r="D22" i="26"/>
  <c r="R21" i="29"/>
  <c r="P357" i="24"/>
  <c r="P8" i="24"/>
  <c r="P4" i="24"/>
  <c r="P19" i="24"/>
  <c r="P16" i="24"/>
  <c r="P355" i="24"/>
  <c r="N21" i="25"/>
  <c r="Z21" i="25"/>
  <c r="S21" i="25"/>
  <c r="X21" i="25"/>
  <c r="AB353" i="24"/>
  <c r="E21" i="25"/>
  <c r="R21" i="25"/>
  <c r="L21" i="25"/>
  <c r="AH84" i="22"/>
  <c r="Y21" i="25"/>
  <c r="P21" i="25"/>
  <c r="W21" i="25"/>
  <c r="F21" i="25"/>
  <c r="U21" i="25"/>
  <c r="K21" i="25"/>
  <c r="I21" i="25"/>
  <c r="V21" i="25"/>
  <c r="T21" i="25"/>
  <c r="G21" i="25"/>
  <c r="AA21" i="25"/>
  <c r="AB354" i="24"/>
  <c r="J21" i="25"/>
  <c r="H21" i="25"/>
  <c r="AB356" i="24"/>
  <c r="AH89" i="22"/>
  <c r="AH83" i="22"/>
  <c r="AH81" i="22"/>
  <c r="AH87" i="22"/>
  <c r="W356" i="24"/>
  <c r="AH93" i="22"/>
  <c r="T24" i="26"/>
  <c r="R24" i="26"/>
  <c r="O24" i="26"/>
  <c r="M24" i="26"/>
  <c r="N24" i="26"/>
  <c r="H24" i="26"/>
  <c r="S24" i="26"/>
  <c r="K24" i="26"/>
  <c r="Q24" i="26"/>
  <c r="I24" i="26"/>
  <c r="P24" i="26"/>
  <c r="AB351" i="24"/>
  <c r="AB352" i="24"/>
  <c r="AB366" i="24"/>
  <c r="J24" i="26"/>
  <c r="AB361" i="24"/>
  <c r="AH85" i="22"/>
  <c r="AB360" i="24"/>
  <c r="AB362" i="24"/>
  <c r="AH91" i="22"/>
  <c r="AB363" i="24"/>
  <c r="AB357" i="24"/>
  <c r="AH86" i="22"/>
  <c r="AB367" i="24"/>
  <c r="AH80" i="22"/>
  <c r="AH94" i="22"/>
  <c r="AB358" i="24"/>
  <c r="W363" i="24"/>
  <c r="W357" i="24"/>
  <c r="AH95" i="22"/>
  <c r="AB364" i="24"/>
  <c r="AB359" i="24"/>
  <c r="AH90" i="22"/>
  <c r="AH97" i="22"/>
  <c r="AH82" i="22"/>
  <c r="AH96" i="22"/>
  <c r="AH88" i="22"/>
  <c r="AB365" i="24"/>
  <c r="AB355" i="24"/>
  <c r="AB350" i="24"/>
  <c r="AH92" i="22"/>
  <c r="L121" i="24"/>
  <c r="W121" i="24"/>
  <c r="W295" i="24"/>
  <c r="L50" i="22"/>
  <c r="AD98" i="22"/>
  <c r="L98" i="22"/>
  <c r="Z98" i="22"/>
  <c r="J100" i="22"/>
  <c r="O100" i="22"/>
  <c r="Y100" i="22"/>
  <c r="Z100" i="22" s="1"/>
  <c r="K370" i="24"/>
  <c r="V370" i="24" s="1"/>
  <c r="Z50" i="22"/>
  <c r="L295" i="24"/>
  <c r="N100" i="22"/>
  <c r="U345" i="24"/>
  <c r="W345" i="24" s="1"/>
  <c r="AC100" i="22"/>
  <c r="AD100" i="22" s="1"/>
  <c r="K100" i="22"/>
  <c r="L368" i="24"/>
  <c r="W368" i="24"/>
  <c r="U320" i="24"/>
  <c r="W320" i="24" s="1"/>
  <c r="L320" i="24"/>
  <c r="U270" i="24"/>
  <c r="W270" i="24" s="1"/>
  <c r="L270" i="24"/>
  <c r="U246" i="24"/>
  <c r="W246" i="24" s="1"/>
  <c r="L246" i="24"/>
  <c r="U221" i="24"/>
  <c r="W221" i="24" s="1"/>
  <c r="L221" i="24"/>
  <c r="U196" i="24"/>
  <c r="W196" i="24" s="1"/>
  <c r="L196" i="24"/>
  <c r="U146" i="24"/>
  <c r="W146" i="24" s="1"/>
  <c r="L146" i="24"/>
  <c r="U96" i="24"/>
  <c r="W96" i="24" s="1"/>
  <c r="L96" i="24"/>
  <c r="U71" i="24"/>
  <c r="W71" i="24" s="1"/>
  <c r="L71" i="24"/>
  <c r="U47" i="24"/>
  <c r="W47" i="24" s="1"/>
  <c r="L47" i="24"/>
  <c r="L23" i="24"/>
  <c r="U23" i="24"/>
  <c r="W23" i="24" s="1"/>
  <c r="AD75" i="22"/>
  <c r="P75" i="22"/>
  <c r="L75" i="22"/>
  <c r="Z75" i="22"/>
  <c r="AD50" i="22"/>
  <c r="P50" i="22"/>
  <c r="Z22" i="22"/>
  <c r="J24" i="22"/>
  <c r="X24" i="22"/>
  <c r="O24" i="22"/>
  <c r="P24" i="22" s="1"/>
  <c r="Y24" i="22"/>
  <c r="K24" i="22"/>
  <c r="AC24" i="22"/>
  <c r="AD24" i="22" s="1"/>
  <c r="L21" i="24"/>
  <c r="U21" i="24"/>
  <c r="W21" i="24" s="1"/>
  <c r="L22" i="22"/>
  <c r="D18" i="25"/>
  <c r="P100" i="22" l="1"/>
  <c r="L100" i="22"/>
  <c r="W370" i="24"/>
  <c r="L370" i="24"/>
  <c r="L24" i="22"/>
  <c r="Z24" i="22"/>
  <c r="F4" i="2"/>
  <c r="E4" i="2"/>
  <c r="C4" i="2"/>
  <c r="F36" i="2"/>
  <c r="E36" i="2"/>
  <c r="C36" i="2"/>
  <c r="F35" i="2"/>
  <c r="E35" i="2"/>
  <c r="C35" i="2"/>
  <c r="M35" i="2" s="1"/>
  <c r="J33" i="2"/>
  <c r="G33" i="2"/>
  <c r="F33" i="2"/>
  <c r="E33" i="2"/>
  <c r="D33" i="2"/>
  <c r="C33" i="2"/>
  <c r="J31" i="2"/>
  <c r="G31" i="2"/>
  <c r="F31" i="2"/>
  <c r="E31" i="2"/>
  <c r="D31" i="2"/>
  <c r="J30" i="2"/>
  <c r="G30" i="2"/>
  <c r="F30" i="2"/>
  <c r="E30" i="2"/>
  <c r="D30" i="2"/>
  <c r="C30" i="2"/>
  <c r="C31" i="2"/>
  <c r="J28" i="2"/>
  <c r="G28" i="2"/>
  <c r="F28" i="2"/>
  <c r="E28" i="2"/>
  <c r="D28" i="2"/>
  <c r="C28" i="2"/>
  <c r="J27" i="2"/>
  <c r="G27" i="2"/>
  <c r="F27" i="2"/>
  <c r="E27" i="2"/>
  <c r="D27" i="2"/>
  <c r="C27" i="2"/>
  <c r="J26" i="2"/>
  <c r="G26" i="2"/>
  <c r="F26" i="2"/>
  <c r="E26" i="2"/>
  <c r="D26" i="2"/>
  <c r="C26" i="2"/>
  <c r="J23" i="2"/>
  <c r="G23" i="2"/>
  <c r="F23" i="2"/>
  <c r="E23" i="2"/>
  <c r="D23" i="2"/>
  <c r="J22" i="2"/>
  <c r="G22" i="2"/>
  <c r="F22" i="2"/>
  <c r="E22" i="2"/>
  <c r="D22" i="2"/>
  <c r="C22" i="2"/>
  <c r="J21" i="2"/>
  <c r="G21" i="2"/>
  <c r="F21" i="2"/>
  <c r="E21" i="2"/>
  <c r="D21" i="2"/>
  <c r="C21" i="2"/>
  <c r="J20" i="2"/>
  <c r="G20" i="2"/>
  <c r="F20" i="2"/>
  <c r="E20" i="2"/>
  <c r="D20" i="2"/>
  <c r="C20" i="2"/>
  <c r="J17" i="2"/>
  <c r="G17" i="2"/>
  <c r="F17" i="2"/>
  <c r="E17" i="2"/>
  <c r="D17" i="2"/>
  <c r="J16" i="2"/>
  <c r="G16" i="2"/>
  <c r="F16" i="2"/>
  <c r="E16" i="2"/>
  <c r="D16" i="2"/>
  <c r="C16" i="2"/>
  <c r="J15" i="2"/>
  <c r="G15" i="2"/>
  <c r="F15" i="2"/>
  <c r="E15" i="2"/>
  <c r="D15" i="2"/>
  <c r="C15" i="2"/>
  <c r="J14" i="2"/>
  <c r="G14" i="2"/>
  <c r="F14" i="2"/>
  <c r="E14" i="2"/>
  <c r="D14" i="2"/>
  <c r="C14" i="2"/>
  <c r="J11" i="2"/>
  <c r="G11" i="2"/>
  <c r="F11" i="2"/>
  <c r="E11" i="2"/>
  <c r="D11" i="2"/>
  <c r="C11" i="2"/>
  <c r="J10" i="2"/>
  <c r="G10" i="2"/>
  <c r="F10" i="2"/>
  <c r="E10" i="2"/>
  <c r="D10" i="2"/>
  <c r="J9" i="2"/>
  <c r="G9" i="2"/>
  <c r="F9" i="2"/>
  <c r="E9" i="2"/>
  <c r="D9" i="2"/>
  <c r="J8" i="2"/>
  <c r="G8" i="2"/>
  <c r="F8" i="2"/>
  <c r="E8" i="2"/>
  <c r="D8" i="2"/>
  <c r="J6" i="2"/>
  <c r="G6" i="2"/>
  <c r="F6" i="2"/>
  <c r="E6" i="2"/>
  <c r="D6" i="2"/>
  <c r="C6" i="2"/>
  <c r="J5" i="2"/>
  <c r="F5" i="2"/>
  <c r="D5" i="2"/>
  <c r="C5" i="2"/>
  <c r="E5" i="2"/>
  <c r="C10" i="2"/>
  <c r="C9" i="2"/>
  <c r="C8" i="2"/>
  <c r="J4" i="2"/>
  <c r="D4" i="2"/>
  <c r="M28" i="2" l="1"/>
  <c r="M8" i="2"/>
  <c r="M11" i="2"/>
  <c r="M17" i="2"/>
  <c r="M30" i="2"/>
  <c r="M5" i="2"/>
  <c r="M21" i="2"/>
  <c r="M36" i="2"/>
  <c r="M23" i="2"/>
  <c r="M22" i="2"/>
  <c r="M16" i="2"/>
  <c r="M27" i="2"/>
  <c r="M33" i="2"/>
  <c r="M9" i="2"/>
  <c r="M15" i="2"/>
  <c r="M26" i="2"/>
  <c r="M10" i="2"/>
  <c r="M20" i="2"/>
  <c r="M6" i="2"/>
  <c r="M14" i="2"/>
  <c r="M31" i="2"/>
  <c r="M4" i="2"/>
  <c r="J29" i="2"/>
  <c r="J34" i="2" s="1"/>
  <c r="J24" i="2"/>
  <c r="J18" i="2"/>
  <c r="G29" i="2"/>
  <c r="G34" i="2" s="1"/>
  <c r="G24" i="2"/>
  <c r="G18" i="2"/>
  <c r="F29" i="2"/>
  <c r="F34" i="2" s="1"/>
  <c r="F24" i="2"/>
  <c r="F18" i="2"/>
  <c r="K36" i="2"/>
  <c r="K35" i="2"/>
  <c r="C29" i="2"/>
  <c r="C24" i="2"/>
  <c r="C18" i="2"/>
  <c r="K6" i="2"/>
  <c r="K33" i="2"/>
  <c r="K32" i="2"/>
  <c r="K31" i="2"/>
  <c r="K30" i="2"/>
  <c r="K28" i="2"/>
  <c r="K27" i="2"/>
  <c r="E29" i="2"/>
  <c r="E34" i="2" s="1"/>
  <c r="K26" i="2"/>
  <c r="K23" i="2"/>
  <c r="B53" i="33" s="1"/>
  <c r="K22" i="2"/>
  <c r="B52" i="33" s="1"/>
  <c r="K21" i="2"/>
  <c r="B51" i="33" s="1"/>
  <c r="E24" i="2"/>
  <c r="K20" i="2"/>
  <c r="B50" i="33" s="1"/>
  <c r="K17" i="2"/>
  <c r="B47" i="33" s="1"/>
  <c r="K16" i="2"/>
  <c r="B46" i="33" s="1"/>
  <c r="K15" i="2"/>
  <c r="B45" i="33" s="1"/>
  <c r="E18" i="2"/>
  <c r="K14" i="2"/>
  <c r="B44" i="33" s="1"/>
  <c r="D29" i="2"/>
  <c r="D34" i="2" s="1"/>
  <c r="D24" i="2"/>
  <c r="D18" i="2"/>
  <c r="K11" i="2"/>
  <c r="K10" i="2"/>
  <c r="K9" i="2"/>
  <c r="K8" i="2"/>
  <c r="J7" i="2"/>
  <c r="J12" i="2" s="1"/>
  <c r="G7" i="2"/>
  <c r="G12" i="2" s="1"/>
  <c r="F7" i="2"/>
  <c r="F12" i="2" s="1"/>
  <c r="E7" i="2"/>
  <c r="E12" i="2" s="1"/>
  <c r="K5" i="2"/>
  <c r="D7" i="2"/>
  <c r="D12" i="2" s="1"/>
  <c r="C7" i="2"/>
  <c r="K4" i="2"/>
  <c r="B30" i="33" l="1"/>
  <c r="B16" i="33"/>
  <c r="B36" i="33"/>
  <c r="B23" i="33"/>
  <c r="B29" i="33"/>
  <c r="B15" i="33"/>
  <c r="B32" i="33"/>
  <c r="B18" i="33"/>
  <c r="B31" i="33"/>
  <c r="B17" i="33"/>
  <c r="B35" i="33"/>
  <c r="B22" i="33"/>
  <c r="B37" i="33"/>
  <c r="B24" i="33"/>
  <c r="B38" i="33"/>
  <c r="B39" i="33" s="1"/>
  <c r="C36" i="33" s="1"/>
  <c r="B25" i="33"/>
  <c r="M18" i="2"/>
  <c r="C12" i="2"/>
  <c r="M12" i="2" s="1"/>
  <c r="B14" i="33" s="1"/>
  <c r="M7" i="2"/>
  <c r="M24" i="2"/>
  <c r="C34" i="2"/>
  <c r="M34" i="2" s="1"/>
  <c r="B21" i="33" s="1"/>
  <c r="M29" i="2"/>
  <c r="G37" i="2"/>
  <c r="F37" i="2"/>
  <c r="J37" i="2"/>
  <c r="E38" i="2"/>
  <c r="D37" i="2"/>
  <c r="G38" i="2"/>
  <c r="J38" i="2"/>
  <c r="F38" i="2"/>
  <c r="E37" i="2"/>
  <c r="D38" i="2"/>
  <c r="R5" i="2"/>
  <c r="V5" i="2" s="1"/>
  <c r="Q14" i="2"/>
  <c r="U14" i="2" s="1"/>
  <c r="R14" i="2"/>
  <c r="V14" i="2" s="1"/>
  <c r="R13" i="2"/>
  <c r="V13" i="2" s="1"/>
  <c r="Q13" i="2"/>
  <c r="U13" i="2" s="1"/>
  <c r="R6" i="2"/>
  <c r="V6" i="2" s="1"/>
  <c r="Q6" i="2"/>
  <c r="U6" i="2" s="1"/>
  <c r="R8" i="2"/>
  <c r="V8" i="2" s="1"/>
  <c r="K24" i="2"/>
  <c r="Q8" i="2"/>
  <c r="U8" i="2" s="1"/>
  <c r="K29" i="2"/>
  <c r="Q11" i="2" s="1"/>
  <c r="R12" i="2" s="1"/>
  <c r="R9" i="2"/>
  <c r="V9" i="2" s="1"/>
  <c r="Q9" i="2"/>
  <c r="U9" i="2" s="1"/>
  <c r="K18" i="2"/>
  <c r="K7" i="2"/>
  <c r="Q12" i="2" s="1"/>
  <c r="R11" i="2" s="1"/>
  <c r="Q5" i="2"/>
  <c r="U5" i="2" s="1"/>
  <c r="B33" i="33" l="1"/>
  <c r="C32" i="33" s="1"/>
  <c r="B26" i="33"/>
  <c r="C26" i="33" s="1"/>
  <c r="N7" i="2"/>
  <c r="B19" i="33"/>
  <c r="C19" i="33" s="1"/>
  <c r="C23" i="33"/>
  <c r="H17" i="33" s="1"/>
  <c r="C29" i="33"/>
  <c r="Q10" i="2"/>
  <c r="U10" i="2" s="1"/>
  <c r="K12" i="2"/>
  <c r="B43" i="33" s="1"/>
  <c r="C35" i="33"/>
  <c r="C30" i="33"/>
  <c r="C38" i="33"/>
  <c r="C37" i="33"/>
  <c r="C37" i="2"/>
  <c r="M37" i="2" s="1"/>
  <c r="C31" i="33"/>
  <c r="N33" i="2"/>
  <c r="B8" i="33"/>
  <c r="N22" i="2"/>
  <c r="B9" i="33"/>
  <c r="N4" i="2"/>
  <c r="B3" i="33"/>
  <c r="N16" i="2"/>
  <c r="B4" i="33"/>
  <c r="N14" i="2"/>
  <c r="N9" i="2"/>
  <c r="N15" i="2"/>
  <c r="N6" i="2"/>
  <c r="Q4" i="2"/>
  <c r="U4" i="2" s="1"/>
  <c r="N34" i="2"/>
  <c r="N32" i="2"/>
  <c r="N30" i="2"/>
  <c r="N28" i="2"/>
  <c r="N31" i="2"/>
  <c r="C38" i="2"/>
  <c r="M38" i="2" s="1"/>
  <c r="N27" i="2"/>
  <c r="N12" i="2"/>
  <c r="N11" i="2"/>
  <c r="N5" i="2"/>
  <c r="N8" i="2"/>
  <c r="N26" i="2"/>
  <c r="R10" i="2"/>
  <c r="R17" i="2" s="1"/>
  <c r="V17" i="2" s="1"/>
  <c r="N24" i="2"/>
  <c r="N21" i="2"/>
  <c r="N23" i="2"/>
  <c r="N20" i="2"/>
  <c r="R4" i="2"/>
  <c r="V4" i="2" s="1"/>
  <c r="K34" i="2"/>
  <c r="B49" i="33" s="1"/>
  <c r="N29" i="2"/>
  <c r="N18" i="2"/>
  <c r="N17" i="2"/>
  <c r="N10" i="2"/>
  <c r="C24" i="33" l="1"/>
  <c r="H18" i="33" s="1"/>
  <c r="C21" i="33"/>
  <c r="H15" i="33" s="1"/>
  <c r="C14" i="33"/>
  <c r="G15" i="33" s="1"/>
  <c r="C15" i="33"/>
  <c r="G16" i="33" s="1"/>
  <c r="C16" i="33"/>
  <c r="G17" i="33" s="1"/>
  <c r="C17" i="33"/>
  <c r="G18" i="33" s="1"/>
  <c r="C18" i="33"/>
  <c r="G19" i="33" s="1"/>
  <c r="Q17" i="2"/>
  <c r="U17" i="2" s="1"/>
  <c r="V10" i="2"/>
  <c r="C22" i="33"/>
  <c r="H16" i="33" s="1"/>
  <c r="C25" i="33"/>
  <c r="H19" i="33" s="1"/>
  <c r="B10" i="33"/>
  <c r="K37" i="2"/>
  <c r="Q15" i="2" s="1"/>
  <c r="R16" i="2" s="1"/>
  <c r="V16" i="2" s="1"/>
  <c r="B5" i="33"/>
  <c r="Q7" i="2"/>
  <c r="R7" i="2"/>
  <c r="K38" i="2"/>
  <c r="R15" i="2" s="1"/>
  <c r="Q16" i="2" s="1"/>
  <c r="U16" i="2" s="1"/>
  <c r="U15" i="2" l="1"/>
  <c r="V15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750DB6F-EDF9-4DE0-8FAE-E51CE9761D52}" keepAlive="1" name="Requête - Stats bruts amical 4 SAHB Stella" description="Connexion à la requête « Stats bruts amical 4 SAHB Stella » dans le classeur." type="5" refreshedVersion="8" background="1" saveData="1">
    <dbPr connection="Provider=Microsoft.Mashup.OleDb.1;Data Source=$Workbook$;Location=&quot;Stats bruts amical 4 SAHB Stella&quot;;Extended Properties=&quot;&quot;" command="SELECT * FROM [Stats bruts amical 4 SAHB Stella]"/>
  </connection>
</connections>
</file>

<file path=xl/sharedStrings.xml><?xml version="1.0" encoding="utf-8"?>
<sst xmlns="http://schemas.openxmlformats.org/spreadsheetml/2006/main" count="20458" uniqueCount="674">
  <si>
    <t>Position</t>
  </si>
  <si>
    <t>Durée</t>
  </si>
  <si>
    <t>Attaques placées</t>
  </si>
  <si>
    <t>Joueuses</t>
  </si>
  <si>
    <t>Résultats</t>
  </si>
  <si>
    <t>Secteurs</t>
  </si>
  <si>
    <t>Défenses</t>
  </si>
  <si>
    <t>Grand Espace</t>
  </si>
  <si>
    <t>Repli</t>
  </si>
  <si>
    <t>Jets de 7m</t>
  </si>
  <si>
    <t>HC</t>
  </si>
  <si>
    <t>But</t>
  </si>
  <si>
    <t>CA MB</t>
  </si>
  <si>
    <t>Neut contre</t>
  </si>
  <si>
    <t>Repli ER</t>
  </si>
  <si>
    <t>ALG</t>
  </si>
  <si>
    <t>ER</t>
  </si>
  <si>
    <t>ALD</t>
  </si>
  <si>
    <t>Repli CA MB</t>
  </si>
  <si>
    <t>Transition</t>
  </si>
  <si>
    <t>Arret</t>
  </si>
  <si>
    <t>Efficacité</t>
  </si>
  <si>
    <t>But vide</t>
  </si>
  <si>
    <t>TOTAL GE</t>
  </si>
  <si>
    <t>Repli Transition</t>
  </si>
  <si>
    <t>Repli but vide</t>
  </si>
  <si>
    <t>TOTAL Repli</t>
  </si>
  <si>
    <t>Stats clefs</t>
  </si>
  <si>
    <t>Attaque</t>
  </si>
  <si>
    <t>7m / 7m + sanctions / sanctions</t>
  </si>
  <si>
    <t>PdeB</t>
  </si>
  <si>
    <t>Efficacité off</t>
  </si>
  <si>
    <t>TOTAL Att 0 6</t>
  </si>
  <si>
    <t>BUTS</t>
  </si>
  <si>
    <t>Arrets</t>
  </si>
  <si>
    <t>TOTAL Att 6 c6</t>
  </si>
  <si>
    <t>Att 6c5</t>
  </si>
  <si>
    <t>Efficacité au tir</t>
  </si>
  <si>
    <t>Att 5c6</t>
  </si>
  <si>
    <t>Ballons joués sur GE</t>
  </si>
  <si>
    <t>Att 7c6</t>
  </si>
  <si>
    <t>Bataille GE</t>
  </si>
  <si>
    <t>Att 6c6 sortie GB</t>
  </si>
  <si>
    <t>TOTAL Attaques</t>
  </si>
  <si>
    <t>Efficacité Déf 6 c 6</t>
  </si>
  <si>
    <t xml:space="preserve">Grand Espace </t>
  </si>
  <si>
    <t>Efficacité Att 6 c 6</t>
  </si>
  <si>
    <t>PERTES DE BALLE</t>
  </si>
  <si>
    <t>Neutralisations</t>
  </si>
  <si>
    <t>Défense</t>
  </si>
  <si>
    <t>Efficacité déf</t>
  </si>
  <si>
    <t xml:space="preserve">Déf 0-6 </t>
  </si>
  <si>
    <t>Déf autres</t>
  </si>
  <si>
    <t>TOTAL Déf 6 c 6</t>
  </si>
  <si>
    <t>Déf 6 c 5</t>
  </si>
  <si>
    <t>Déf 5 c 6</t>
  </si>
  <si>
    <t>Déf 6 c7</t>
  </si>
  <si>
    <t>Déf 6c 6 sans GB</t>
  </si>
  <si>
    <t xml:space="preserve">TOTAL Déf </t>
  </si>
  <si>
    <t>Jet de 7m</t>
  </si>
  <si>
    <t>7m équipe à analyser</t>
  </si>
  <si>
    <t>7m adversaire</t>
  </si>
  <si>
    <t xml:space="preserve">TOTAL Att 1 5 </t>
  </si>
  <si>
    <t>TOTAL Autres</t>
  </si>
  <si>
    <t>Déf 1-5</t>
  </si>
  <si>
    <t>ADV</t>
  </si>
  <si>
    <t>Efficacité par possession Adversaire</t>
  </si>
  <si>
    <t>Efficacité par possession</t>
  </si>
  <si>
    <t>Efficacité défensive par possession</t>
  </si>
  <si>
    <t>Nbre de possessions en attaque placée</t>
  </si>
  <si>
    <t>TOTAL</t>
  </si>
  <si>
    <t>Pertes de balle</t>
  </si>
  <si>
    <t>Passe D</t>
  </si>
  <si>
    <t>D+</t>
  </si>
  <si>
    <t>D-</t>
  </si>
  <si>
    <t>Repli -</t>
  </si>
  <si>
    <t>Création +</t>
  </si>
  <si>
    <t>0-6 (1)</t>
  </si>
  <si>
    <t/>
  </si>
  <si>
    <t>PDB</t>
  </si>
  <si>
    <t>0-6</t>
  </si>
  <si>
    <t>0-6 (10)</t>
  </si>
  <si>
    <t>0-6 (11)</t>
  </si>
  <si>
    <t>Ar GB</t>
  </si>
  <si>
    <t>0-6 (12)</t>
  </si>
  <si>
    <t>0-6 (13)</t>
  </si>
  <si>
    <t>0-6 (14)</t>
  </si>
  <si>
    <t>0-6 (2)</t>
  </si>
  <si>
    <t>0-6 (3)</t>
  </si>
  <si>
    <t>0-6 (4)</t>
  </si>
  <si>
    <t>0-6 (5)</t>
  </si>
  <si>
    <t>0-6 (6)</t>
  </si>
  <si>
    <t>0-6 (7)</t>
  </si>
  <si>
    <t>0-6 (8)</t>
  </si>
  <si>
    <t>0-6 (9)</t>
  </si>
  <si>
    <t>Jet 7m</t>
  </si>
  <si>
    <t>7m Equipe à analyser (1)</t>
  </si>
  <si>
    <t>7m Equipe à analyser</t>
  </si>
  <si>
    <t>Att 0-6 (1)</t>
  </si>
  <si>
    <t>Att 0-6</t>
  </si>
  <si>
    <t>Att 0-6 (10)</t>
  </si>
  <si>
    <t>Att 0-6 (11)</t>
  </si>
  <si>
    <t>Att 0-6 (12)</t>
  </si>
  <si>
    <t>Att 0-6 (13)</t>
  </si>
  <si>
    <t>Att 0-6 (14)</t>
  </si>
  <si>
    <t>7m / 7m 2min</t>
  </si>
  <si>
    <t>Att 0-6 (15)</t>
  </si>
  <si>
    <t>Att 0-6 (16)</t>
  </si>
  <si>
    <t>Att 0-6 (17)</t>
  </si>
  <si>
    <t>Att 0-6 (18)</t>
  </si>
  <si>
    <t>Att 0-6 (19)</t>
  </si>
  <si>
    <t>Att 0-6 (2)</t>
  </si>
  <si>
    <t>Att 0-6 (20)</t>
  </si>
  <si>
    <t>Att 0-6 (21)</t>
  </si>
  <si>
    <t>Att 0-6 (3)</t>
  </si>
  <si>
    <t>Att 0-6 (4)</t>
  </si>
  <si>
    <t>Att 0-6 (5)</t>
  </si>
  <si>
    <t>Att 0-6 (6)</t>
  </si>
  <si>
    <t>Att 0-6 (7)</t>
  </si>
  <si>
    <t>Att 0-6 (8)</t>
  </si>
  <si>
    <t>Att 0-6 (9)</t>
  </si>
  <si>
    <t>Att 6 c 5 (1)</t>
  </si>
  <si>
    <t>Att 6 c 5</t>
  </si>
  <si>
    <t>CA MB (1)</t>
  </si>
  <si>
    <t>CA MB (2)</t>
  </si>
  <si>
    <t>Repli CA MB (1)</t>
  </si>
  <si>
    <t>Repli CA MB (2)</t>
  </si>
  <si>
    <t>Repli ER (1)</t>
  </si>
  <si>
    <t>Repli transition (1)</t>
  </si>
  <si>
    <t>Repli transition</t>
  </si>
  <si>
    <t>Repli transition (2)</t>
  </si>
  <si>
    <t>Repli transition (3)</t>
  </si>
  <si>
    <t>Repli transition (4)</t>
  </si>
  <si>
    <t>ESPAGNOL</t>
  </si>
  <si>
    <t>ALGERIEN</t>
  </si>
  <si>
    <t>Déf - (1)</t>
  </si>
  <si>
    <t>Déf - (2)</t>
  </si>
  <si>
    <t>Déf + (1)</t>
  </si>
  <si>
    <t>Déf + (2)</t>
  </si>
  <si>
    <t>Déf + (3)</t>
  </si>
  <si>
    <t>Stats clefs - Moyenne par match</t>
  </si>
  <si>
    <t>Nb Match</t>
  </si>
  <si>
    <t>Attaque 06 enclenchements</t>
  </si>
  <si>
    <t>Nombre de séquences</t>
  </si>
  <si>
    <t>Nombre par matchs</t>
  </si>
  <si>
    <t>Nb matchs</t>
  </si>
  <si>
    <t>De loin</t>
  </si>
  <si>
    <t>% tireuse</t>
  </si>
  <si>
    <t>% Arret</t>
  </si>
  <si>
    <t>GB</t>
  </si>
  <si>
    <t>%</t>
  </si>
  <si>
    <t>PVT</t>
  </si>
  <si>
    <t>Global</t>
  </si>
  <si>
    <t>Recup -</t>
  </si>
  <si>
    <t>Ratio par match</t>
  </si>
  <si>
    <t>7m 2min obtenus</t>
  </si>
  <si>
    <t>Enclenchements 06</t>
  </si>
  <si>
    <t>Déf +</t>
  </si>
  <si>
    <t>Déf -</t>
  </si>
  <si>
    <t>Enclenchements 15</t>
  </si>
  <si>
    <t>contre</t>
  </si>
  <si>
    <t>M inv -</t>
  </si>
  <si>
    <t>Transition (1)</t>
  </si>
  <si>
    <t>Transition (2)</t>
  </si>
  <si>
    <t>M inv +</t>
  </si>
  <si>
    <t>Interception manqué</t>
  </si>
  <si>
    <t>duel gagné</t>
  </si>
  <si>
    <t>ER (1)</t>
  </si>
  <si>
    <t>Déf + (4)</t>
  </si>
  <si>
    <t>entraide +</t>
  </si>
  <si>
    <t>Déf + (5)</t>
  </si>
  <si>
    <t>Déf - (3)</t>
  </si>
  <si>
    <t>Transition (3)</t>
  </si>
  <si>
    <t>Transition (4)</t>
  </si>
  <si>
    <t>Déf - (4)</t>
  </si>
  <si>
    <t>ER (2)</t>
  </si>
  <si>
    <t>Déf + (6)</t>
  </si>
  <si>
    <t>Déf + (7)</t>
  </si>
  <si>
    <t>Déf - (5)</t>
  </si>
  <si>
    <t>ER (3)</t>
  </si>
  <si>
    <t>Transition (5)</t>
  </si>
  <si>
    <t>Déf + (8)</t>
  </si>
  <si>
    <t>Déf + (9)</t>
  </si>
  <si>
    <t>Déf + (10)</t>
  </si>
  <si>
    <t>Déf + (11)</t>
  </si>
  <si>
    <t>recup +</t>
  </si>
  <si>
    <t>Déf + (12)</t>
  </si>
  <si>
    <t>Déf - (6)</t>
  </si>
  <si>
    <t>Sanction 2 ou R</t>
  </si>
  <si>
    <t>Déf - (7)</t>
  </si>
  <si>
    <t>Déf - (8)</t>
  </si>
  <si>
    <t>pas d'entraide</t>
  </si>
  <si>
    <t>Déf + (13)</t>
  </si>
  <si>
    <t>repli +</t>
  </si>
  <si>
    <t>Déf + (14)</t>
  </si>
  <si>
    <t>Déf + (15)</t>
  </si>
  <si>
    <t>Pb gestion pvt</t>
  </si>
  <si>
    <t>Déf + (16)</t>
  </si>
  <si>
    <t>Déf + (17)</t>
  </si>
  <si>
    <t>Déf + (18)</t>
  </si>
  <si>
    <t>Déf + (19)</t>
  </si>
  <si>
    <t>Déf + (20)</t>
  </si>
  <si>
    <t>Déf + (21)</t>
  </si>
  <si>
    <t>Déf + (22)</t>
  </si>
  <si>
    <t>ER (4)</t>
  </si>
  <si>
    <t>D +</t>
  </si>
  <si>
    <t>D -</t>
  </si>
  <si>
    <t>contournement pvt</t>
  </si>
  <si>
    <t>Ench taches et rep +</t>
  </si>
  <si>
    <t>Autres</t>
  </si>
  <si>
    <t>Surentraide</t>
  </si>
  <si>
    <t>repartition -</t>
  </si>
  <si>
    <t>Ouv plus rentrée DC</t>
  </si>
  <si>
    <t>Enclenchements 6 c 5</t>
  </si>
  <si>
    <t>Ouv PVT 12</t>
  </si>
  <si>
    <t>Stats des enclenchements</t>
  </si>
  <si>
    <t>Stats générales</t>
  </si>
  <si>
    <t>Passe D Globales</t>
  </si>
  <si>
    <t>GE</t>
  </si>
  <si>
    <t>Zone</t>
  </si>
  <si>
    <t>Passif</t>
  </si>
  <si>
    <t>Lieu des PB</t>
  </si>
  <si>
    <t>Possessions globales</t>
  </si>
  <si>
    <t>Possessions globales par match</t>
  </si>
  <si>
    <t>Attendus de saison</t>
  </si>
  <si>
    <t>Passes D</t>
  </si>
  <si>
    <t>Lieu PB</t>
  </si>
  <si>
    <t>Equipe</t>
  </si>
  <si>
    <t>Att 6 c 5 (2)</t>
  </si>
  <si>
    <t>CA MB (3)</t>
  </si>
  <si>
    <t>CA MB (4)</t>
  </si>
  <si>
    <t>Transition (6)</t>
  </si>
  <si>
    <t>Transition (7)</t>
  </si>
  <si>
    <t>0-6 (21)</t>
  </si>
  <si>
    <t>0-6 (20)</t>
  </si>
  <si>
    <t>0-6 (19)</t>
  </si>
  <si>
    <t>0-6 (18)</t>
  </si>
  <si>
    <t>0-6 (17)</t>
  </si>
  <si>
    <t>0-6 (16)</t>
  </si>
  <si>
    <t>0-6 (15)</t>
  </si>
  <si>
    <t>Repli ER (2)</t>
  </si>
  <si>
    <t>Repli ER (3)</t>
  </si>
  <si>
    <t>Déf - (9)</t>
  </si>
  <si>
    <t>Déf - (10)</t>
  </si>
  <si>
    <t>0-6 (22)</t>
  </si>
  <si>
    <t>Déf - (11)</t>
  </si>
  <si>
    <t>Déf - (12)</t>
  </si>
  <si>
    <t>Déf - (13)</t>
  </si>
  <si>
    <t>Att 0-6 (22)</t>
  </si>
  <si>
    <t>Déf - (14)</t>
  </si>
  <si>
    <t>Déf - (15)</t>
  </si>
  <si>
    <t>Déf - (16)</t>
  </si>
  <si>
    <t>Déf - (17)</t>
  </si>
  <si>
    <t>Déf - (18)</t>
  </si>
  <si>
    <t>Déf - (19)</t>
  </si>
  <si>
    <t>ER (5)</t>
  </si>
  <si>
    <t>ER (6)</t>
  </si>
  <si>
    <t>ER (7)</t>
  </si>
  <si>
    <t>CA MB (5)</t>
  </si>
  <si>
    <t>Marcher</t>
  </si>
  <si>
    <t>Passes décisives (1)</t>
  </si>
  <si>
    <t>Passes décisives (2)</t>
  </si>
  <si>
    <t>Passes décisives (3)</t>
  </si>
  <si>
    <t>Passes décisives (4)</t>
  </si>
  <si>
    <t>Passes décisives (5)</t>
  </si>
  <si>
    <t>Passes décisives (6)</t>
  </si>
  <si>
    <t>PVT 12 PVT 12</t>
  </si>
  <si>
    <t>Passes décisives (7)</t>
  </si>
  <si>
    <t>Passes décisives (8)</t>
  </si>
  <si>
    <t>Passes décisives (9)</t>
  </si>
  <si>
    <t>Passes décisives (10)</t>
  </si>
  <si>
    <t>Passes décisives (11)</t>
  </si>
  <si>
    <t>Passes décisives (12)</t>
  </si>
  <si>
    <t>Passes décisives (13)</t>
  </si>
  <si>
    <t>Passes décisives (14)</t>
  </si>
  <si>
    <t>Passes décisives (15)</t>
  </si>
  <si>
    <t>Passes décisives (16)</t>
  </si>
  <si>
    <t>tir raté NC</t>
  </si>
  <si>
    <t>Enc taches et rep +</t>
  </si>
  <si>
    <t>contournement pivot</t>
  </si>
  <si>
    <t>Arret NC</t>
  </si>
  <si>
    <t>SAMBRE</t>
  </si>
  <si>
    <t>1 2</t>
  </si>
  <si>
    <t>5 6</t>
  </si>
  <si>
    <t>Justicia Toubissa Elbeco</t>
  </si>
  <si>
    <t>Syriane Adon</t>
  </si>
  <si>
    <t>Hana Kvasova</t>
  </si>
  <si>
    <t>Léa Ballureau</t>
  </si>
  <si>
    <t>Maelle Chalmandrier</t>
  </si>
  <si>
    <t>Kimberley Rutil</t>
  </si>
  <si>
    <t>Julie Sias</t>
  </si>
  <si>
    <t>Camille Tourigny</t>
  </si>
  <si>
    <t>Maelys Kouaya</t>
  </si>
  <si>
    <t>Ines Godet</t>
  </si>
  <si>
    <t>Ingrid Ngongang</t>
  </si>
  <si>
    <t>A 6m</t>
  </si>
  <si>
    <t>3 4</t>
  </si>
  <si>
    <t>2 3</t>
  </si>
  <si>
    <t>4 5</t>
  </si>
  <si>
    <t>Mi distance Appui</t>
  </si>
  <si>
    <t>Mi distance suspension</t>
  </si>
  <si>
    <t>Central 7m 9m appui</t>
  </si>
  <si>
    <t>7m 9m Ext G appui</t>
  </si>
  <si>
    <t>7m 9m Ext D appui</t>
  </si>
  <si>
    <t>7m 9m central suspension</t>
  </si>
  <si>
    <t>7m 9m Ext G suspension</t>
  </si>
  <si>
    <t>7m 9m Ext D suspension</t>
  </si>
  <si>
    <t>9m G</t>
  </si>
  <si>
    <t>9m +</t>
  </si>
  <si>
    <t>9m D</t>
  </si>
  <si>
    <t>Autres formes</t>
  </si>
  <si>
    <t>TOTAL Champ</t>
  </si>
  <si>
    <t>TOTAL avec 7m</t>
  </si>
  <si>
    <t>KF</t>
  </si>
  <si>
    <t>Passe centrale</t>
  </si>
  <si>
    <t>PF Mauvais bloc</t>
  </si>
  <si>
    <t>Separation 34</t>
  </si>
  <si>
    <t>YOUGO 34</t>
  </si>
  <si>
    <t>YOUGO int int</t>
  </si>
  <si>
    <t>YOUGO Glissé</t>
  </si>
  <si>
    <t>HONGROIS</t>
  </si>
  <si>
    <t>PVT 12 ou 56 rentrée AL</t>
  </si>
  <si>
    <t>W AL 12 ou 56</t>
  </si>
  <si>
    <t xml:space="preserve">Croisé DC AR </t>
  </si>
  <si>
    <t>W 12 plus rentrée DC</t>
  </si>
  <si>
    <t>POSTE</t>
  </si>
  <si>
    <t>Tirs</t>
  </si>
  <si>
    <t>Tirs cadré</t>
  </si>
  <si>
    <t>Pourcentage Arret</t>
  </si>
  <si>
    <t>Pourcentage tireuse</t>
  </si>
  <si>
    <t>GB avec Arret NC</t>
  </si>
  <si>
    <t>Tirs cadrés</t>
  </si>
  <si>
    <t>Justicia TOUBISSA ELBECO</t>
  </si>
  <si>
    <t>TOTAL JOUEUSES</t>
  </si>
  <si>
    <t>Moyenne par match</t>
  </si>
  <si>
    <t>Nb matchs joueuse</t>
  </si>
  <si>
    <t>Action +</t>
  </si>
  <si>
    <t>Joueuses créatrices</t>
  </si>
  <si>
    <t>Matchs jouées</t>
  </si>
  <si>
    <t>total</t>
  </si>
  <si>
    <t xml:space="preserve">MOYENNE </t>
  </si>
  <si>
    <t>Tps de jeu</t>
  </si>
  <si>
    <t>SOMME</t>
  </si>
  <si>
    <t>JUSTICIA</t>
  </si>
  <si>
    <t>KIM</t>
  </si>
  <si>
    <t>Sep 34</t>
  </si>
  <si>
    <t>LEA</t>
  </si>
  <si>
    <t>CAMILLE T</t>
  </si>
  <si>
    <t>JULIE</t>
  </si>
  <si>
    <t>Sort pas course int</t>
  </si>
  <si>
    <t>Duel perdu</t>
  </si>
  <si>
    <t>PF provoqué</t>
  </si>
  <si>
    <t>Déf + (23)</t>
  </si>
  <si>
    <t>Déf + (24)</t>
  </si>
  <si>
    <t>ER (8)</t>
  </si>
  <si>
    <t>ER (9)</t>
  </si>
  <si>
    <t>ER (10)</t>
  </si>
  <si>
    <t>56</t>
  </si>
  <si>
    <t>Tir Raté NC</t>
  </si>
  <si>
    <t>Arrêt NC</t>
  </si>
  <si>
    <t>Tir raté NC</t>
  </si>
  <si>
    <t xml:space="preserve">duel perdu </t>
  </si>
  <si>
    <t>Gd croisé AR AR retour AL</t>
  </si>
  <si>
    <t>Données brutes</t>
  </si>
  <si>
    <t>TOTAL GB</t>
  </si>
  <si>
    <t>Julie SIAS</t>
  </si>
  <si>
    <t>Camille TOURIGNY</t>
  </si>
  <si>
    <t>Hana KVASOVA</t>
  </si>
  <si>
    <t>Léa BALLUREAU</t>
  </si>
  <si>
    <t>Maelle CHALMANDRIER</t>
  </si>
  <si>
    <t>Kimerley RUTIL</t>
  </si>
  <si>
    <t>Ines GODET</t>
  </si>
  <si>
    <t>Maelys KOUAYA</t>
  </si>
  <si>
    <t>Ingrid NGONGANG</t>
  </si>
  <si>
    <t>Syriane ADON</t>
  </si>
  <si>
    <t>Total EQUIPE</t>
  </si>
  <si>
    <t>MAELLE</t>
  </si>
  <si>
    <t>SYRIANE</t>
  </si>
  <si>
    <t>1-5 (1)</t>
  </si>
  <si>
    <t>1-5</t>
  </si>
  <si>
    <t>Transition (8)</t>
  </si>
  <si>
    <t>1-5 (2)</t>
  </si>
  <si>
    <t>Transition (10)</t>
  </si>
  <si>
    <t>Transition (9)</t>
  </si>
  <si>
    <t>% de tirs par secteur</t>
  </si>
  <si>
    <t>% tir par secteur</t>
  </si>
  <si>
    <t>Nb match</t>
  </si>
  <si>
    <t>Ou on perd les ballons</t>
  </si>
  <si>
    <t>Nb ballons qui donnent un résultat</t>
  </si>
  <si>
    <t>% phases globales att</t>
  </si>
  <si>
    <t>% phases globales GE</t>
  </si>
  <si>
    <t>% phases globales REPLI</t>
  </si>
  <si>
    <t>% phases globales déf</t>
  </si>
  <si>
    <t>Nb matchs équipe</t>
  </si>
  <si>
    <t>AL</t>
  </si>
  <si>
    <t>Espace ext</t>
  </si>
  <si>
    <t>Secteur central</t>
  </si>
  <si>
    <t>Nb minutes temps de jeu moyen</t>
  </si>
  <si>
    <t>Nb minutes de tps de jeu</t>
  </si>
  <si>
    <t>Perd 1 ballon toutes les X minutes</t>
  </si>
  <si>
    <t>1 action positive toutes les X minutes de tps de jeu</t>
  </si>
  <si>
    <t>Possessions en AP</t>
  </si>
  <si>
    <t>Possessions sur GE</t>
  </si>
  <si>
    <t>GLOBAL</t>
  </si>
  <si>
    <t>Comment sont utilisés les ballons sur le grand espace ?</t>
  </si>
  <si>
    <t xml:space="preserve">ER </t>
  </si>
  <si>
    <t>Comment est utilisée le ballon ?</t>
  </si>
  <si>
    <t>Efficacité des différentes phases de jeu</t>
  </si>
  <si>
    <t>ADVERSAIRE</t>
  </si>
  <si>
    <t>Plus précisemment</t>
  </si>
  <si>
    <t>AP</t>
  </si>
  <si>
    <t>Enclenchements transition ER</t>
  </si>
  <si>
    <t>1-5 (4)</t>
  </si>
  <si>
    <t>ALIX</t>
  </si>
  <si>
    <t>1-5 (3)</t>
  </si>
  <si>
    <t>PHELLYS</t>
  </si>
  <si>
    <t>PORTE 3</t>
  </si>
  <si>
    <t>YAGO</t>
  </si>
  <si>
    <t>Croisé AR AR PVT 23</t>
  </si>
  <si>
    <t>PVT 34</t>
  </si>
  <si>
    <t>LAURA LYNE</t>
  </si>
  <si>
    <t>MATHILDE</t>
  </si>
  <si>
    <t>NAEMI</t>
  </si>
  <si>
    <t>Efficacité par possession SAHB</t>
  </si>
  <si>
    <t>Alix TIGNON</t>
  </si>
  <si>
    <t>NAEMI ARDOUIN</t>
  </si>
  <si>
    <t>PHELLYS KIBUEY</t>
  </si>
  <si>
    <t>MATHILDE MELIQUE</t>
  </si>
  <si>
    <t>LAURA LYNE LOMBINDO</t>
  </si>
  <si>
    <t>METZ</t>
  </si>
  <si>
    <t>ALGE</t>
  </si>
  <si>
    <t>AALBORG</t>
  </si>
  <si>
    <t>Naémi Ardouin</t>
  </si>
  <si>
    <t>Mathilde Melique</t>
  </si>
  <si>
    <t>Phellys Kibuey</t>
  </si>
  <si>
    <t>Laura Lyne Lombindo</t>
  </si>
  <si>
    <t>Alix Tignon</t>
  </si>
  <si>
    <t>Habi Sall</t>
  </si>
  <si>
    <t>HABI SALL</t>
  </si>
  <si>
    <t>HANA</t>
  </si>
  <si>
    <t>Repli transition (9)</t>
  </si>
  <si>
    <t>7m Equipe à analyser (4)</t>
  </si>
  <si>
    <t>7m Equipe à analyser (2)</t>
  </si>
  <si>
    <t>7m Equipe à analyser (3)</t>
  </si>
  <si>
    <t>Repli transition (6)</t>
  </si>
  <si>
    <t>Repli transition (8)</t>
  </si>
  <si>
    <t>Repli transition (10)</t>
  </si>
  <si>
    <t>Repli transition (5)</t>
  </si>
  <si>
    <t>Grand croisé AR AR retour AL</t>
  </si>
  <si>
    <t>Repli transition (7)</t>
  </si>
  <si>
    <t>Déf + (25)</t>
  </si>
  <si>
    <t>Déf + (26)</t>
  </si>
  <si>
    <t>Déf + (27)</t>
  </si>
  <si>
    <t>Déf + (28)</t>
  </si>
  <si>
    <t>Déf + (29)</t>
  </si>
  <si>
    <t>Naemi Ardouin</t>
  </si>
  <si>
    <t xml:space="preserve"> n</t>
  </si>
  <si>
    <t>Nombre de tirs totals/secteurs</t>
  </si>
  <si>
    <t>Central 7m 9m appui/suspension</t>
  </si>
  <si>
    <t>7m 9m Ext G appui/suspension</t>
  </si>
  <si>
    <t>7m 9m Ext D appui/suspension</t>
  </si>
  <si>
    <t>Total</t>
  </si>
  <si>
    <t>Répartition des shoots /secteurs</t>
  </si>
  <si>
    <t>% Tirs</t>
  </si>
  <si>
    <t>Efficacité des shoots /secteurs</t>
  </si>
  <si>
    <t>Attention ici regarder le détail des stats</t>
  </si>
  <si>
    <t>TIRS</t>
  </si>
  <si>
    <t>Action off +</t>
  </si>
  <si>
    <t>Action off -</t>
  </si>
  <si>
    <t>Ratio</t>
  </si>
  <si>
    <t>Déf  -</t>
  </si>
  <si>
    <t>Pertes de balle sur tps de jeu</t>
  </si>
  <si>
    <t>Action positive de création sur temps de jeu</t>
  </si>
  <si>
    <t>Action négative sur temps de jeu</t>
  </si>
  <si>
    <t>Action positive sur temps de jeu</t>
  </si>
  <si>
    <t>Temps de jeu</t>
  </si>
  <si>
    <t>Transition (12)</t>
  </si>
  <si>
    <t>Transition (11)</t>
  </si>
  <si>
    <t>Repli ER (7)</t>
  </si>
  <si>
    <t>Repli ER (6)</t>
  </si>
  <si>
    <t>Repli ER (5)</t>
  </si>
  <si>
    <t>Repli ER (4)</t>
  </si>
  <si>
    <t>Déf 6 c 6 sans GB (5)</t>
  </si>
  <si>
    <t>Déf 6 c 6 sans GB</t>
  </si>
  <si>
    <t>Déf 6 c 6 sans GB (4)</t>
  </si>
  <si>
    <t>Déf 6 c 6 sans GB (3)</t>
  </si>
  <si>
    <t>Déf 6 c 6 sans GB (2)</t>
  </si>
  <si>
    <t>Déf 6 c 6 sans GB (1)</t>
  </si>
  <si>
    <t>Déf + (33)</t>
  </si>
  <si>
    <t>Déf + (32)</t>
  </si>
  <si>
    <t>Déf + (31)</t>
  </si>
  <si>
    <t>Déf + (30)</t>
  </si>
  <si>
    <t>surentraide</t>
  </si>
  <si>
    <t>But vide (1)</t>
  </si>
  <si>
    <t>7m Adversaires (1)</t>
  </si>
  <si>
    <t>7m Adversaires</t>
  </si>
  <si>
    <t>0-6 (32)</t>
  </si>
  <si>
    <t>0-6 (31)</t>
  </si>
  <si>
    <t>0-6 (30)</t>
  </si>
  <si>
    <t>0-6 (29)</t>
  </si>
  <si>
    <t>0-6 (28)</t>
  </si>
  <si>
    <t>0-6 (27)</t>
  </si>
  <si>
    <t>0-6 (26)</t>
  </si>
  <si>
    <t>0-6 (25)</t>
  </si>
  <si>
    <t>0-6 (24)</t>
  </si>
  <si>
    <t>0-6 (23)</t>
  </si>
  <si>
    <t>Porte 4 ou 3</t>
  </si>
  <si>
    <t>12</t>
  </si>
  <si>
    <t>Repli transition (11)</t>
  </si>
  <si>
    <t>Repli CA MB (9)</t>
  </si>
  <si>
    <t>Repli CA MB (8)</t>
  </si>
  <si>
    <t>Repli CA MB (7)</t>
  </si>
  <si>
    <t>Repli CA MB (6)</t>
  </si>
  <si>
    <t>Repli CA MB (5)</t>
  </si>
  <si>
    <t>ER (14)</t>
  </si>
  <si>
    <t>ER (13)</t>
  </si>
  <si>
    <t>ER (12)</t>
  </si>
  <si>
    <t>ER (11)</t>
  </si>
  <si>
    <t>Déf 6 c 6 sans GB (7)</t>
  </si>
  <si>
    <t>Déf - (21)</t>
  </si>
  <si>
    <t>Déf - (20)</t>
  </si>
  <si>
    <t>Autres (2)</t>
  </si>
  <si>
    <t>Autres (1)</t>
  </si>
  <si>
    <t>Att 0-6 (44)</t>
  </si>
  <si>
    <t>Att 0-6 (43)</t>
  </si>
  <si>
    <t>Att 0-6 (42)</t>
  </si>
  <si>
    <t>Att 0-6 (41)</t>
  </si>
  <si>
    <t>Att 0-6 (40)</t>
  </si>
  <si>
    <t>Att 0-6 (39)</t>
  </si>
  <si>
    <t>Att 0-6 (38)</t>
  </si>
  <si>
    <t>Att 0-6 (37)</t>
  </si>
  <si>
    <t>Att 0-6 (36)</t>
  </si>
  <si>
    <t>Att 0-6 (35)</t>
  </si>
  <si>
    <t>Att 0-6 (34)</t>
  </si>
  <si>
    <t>Att 0-6 (33)</t>
  </si>
  <si>
    <t>Att 0-6 (32)</t>
  </si>
  <si>
    <t>Att 0-6 (31)</t>
  </si>
  <si>
    <t>Att 0-6 (30)</t>
  </si>
  <si>
    <t>Att 0-6 (29)</t>
  </si>
  <si>
    <t>Att 0-6 (28)</t>
  </si>
  <si>
    <t>Att 0-6 (27)</t>
  </si>
  <si>
    <t>Att 0-6 (26)</t>
  </si>
  <si>
    <t>Att 0-6 (25)</t>
  </si>
  <si>
    <t>Att 0-6 (24)</t>
  </si>
  <si>
    <t>Att 0-6 (23)</t>
  </si>
  <si>
    <t>7m Equipe à analyser (5)</t>
  </si>
  <si>
    <t>7m Adversaires (3)</t>
  </si>
  <si>
    <t>7m Adversaires (2)</t>
  </si>
  <si>
    <t>1-5 (11)</t>
  </si>
  <si>
    <t>1-5 (10)</t>
  </si>
  <si>
    <t>1-5 (9)</t>
  </si>
  <si>
    <t>1-5 (8)</t>
  </si>
  <si>
    <t>1-5 (7)</t>
  </si>
  <si>
    <t>1-5 (6)</t>
  </si>
  <si>
    <t>1-5 (5)</t>
  </si>
  <si>
    <t>Déf 6 c 6 sans GB (6)</t>
  </si>
  <si>
    <t>Repli CA MB (3)</t>
  </si>
  <si>
    <t>Repli CA MB (4)</t>
  </si>
  <si>
    <t>STELLA</t>
  </si>
  <si>
    <t>ATH</t>
  </si>
  <si>
    <t>HAC</t>
  </si>
  <si>
    <t>CLERMONT</t>
  </si>
  <si>
    <t>MAELYS</t>
  </si>
  <si>
    <t>INGRID</t>
  </si>
  <si>
    <t>Déf - (22)</t>
  </si>
  <si>
    <t>Passes décisives (17)</t>
  </si>
  <si>
    <t>Libre et autres</t>
  </si>
  <si>
    <t>CA MB (9)</t>
  </si>
  <si>
    <t>Défense 6 c 5 (1)</t>
  </si>
  <si>
    <t>Défense 6 c 5</t>
  </si>
  <si>
    <t>0-6 (33)</t>
  </si>
  <si>
    <t>0-6 (35)</t>
  </si>
  <si>
    <t>CA MB (7)</t>
  </si>
  <si>
    <t>Spé AL ER</t>
  </si>
  <si>
    <t>Att 6 c 5 (3)</t>
  </si>
  <si>
    <t>Att 6 c 5 (4)</t>
  </si>
  <si>
    <t>ouv PVT 12</t>
  </si>
  <si>
    <t>0-6 (34)</t>
  </si>
  <si>
    <t>CA MB (6)</t>
  </si>
  <si>
    <t>CA MB (8)</t>
  </si>
  <si>
    <t>1-5 (12)</t>
  </si>
  <si>
    <t>1-5 (13)</t>
  </si>
  <si>
    <t>1-5 (14)</t>
  </si>
  <si>
    <t>1-5 (15)</t>
  </si>
  <si>
    <t>1-5 (16)</t>
  </si>
  <si>
    <t>1-5 (17)</t>
  </si>
  <si>
    <t>1-5 (18)</t>
  </si>
  <si>
    <t>1-5 (19)</t>
  </si>
  <si>
    <t>1-5 (20)</t>
  </si>
  <si>
    <t>1-5 (21)</t>
  </si>
  <si>
    <t>1-5 (22)</t>
  </si>
  <si>
    <t>1-5 (23)</t>
  </si>
  <si>
    <t>Att 0-6 (45)</t>
  </si>
  <si>
    <t>Att 0-6 (46)</t>
  </si>
  <si>
    <t>Att 0-6 (47)</t>
  </si>
  <si>
    <t>Att 0-6 (48)</t>
  </si>
  <si>
    <t>Att 0-6 (49)</t>
  </si>
  <si>
    <t>Att 6 c 6 sans GB (1)</t>
  </si>
  <si>
    <t>Att 6 c 6 sans GB</t>
  </si>
  <si>
    <t>Att autres (1)</t>
  </si>
  <si>
    <t>Att autres</t>
  </si>
  <si>
    <t>Défense 5 c 6 (1)</t>
  </si>
  <si>
    <t>Défense 5 c 6</t>
  </si>
  <si>
    <t>Défense 5 c 6 (2)</t>
  </si>
  <si>
    <t>Défense 6 c 5 (2)</t>
  </si>
  <si>
    <t>Défense 6 c 5 (3)</t>
  </si>
  <si>
    <t>Passes décisives (18)</t>
  </si>
  <si>
    <t>Passes décisives (19)</t>
  </si>
  <si>
    <t>Passes décisives (20)</t>
  </si>
  <si>
    <t>Passes décisives (21)</t>
  </si>
  <si>
    <t>Passes décisives (22)</t>
  </si>
  <si>
    <t>Passes décisives (23)</t>
  </si>
  <si>
    <t>Repli But vide (1)</t>
  </si>
  <si>
    <t>Repli But vide</t>
  </si>
  <si>
    <t>Repli CA MB (10)</t>
  </si>
  <si>
    <t>Repli CA MB (11)</t>
  </si>
  <si>
    <t>Repli transition (12)</t>
  </si>
  <si>
    <t>Repli transition (13)</t>
  </si>
  <si>
    <t>Repli transition (14)</t>
  </si>
  <si>
    <t>Repli transition (15)</t>
  </si>
  <si>
    <t>Repli transition (16)</t>
  </si>
  <si>
    <t>Repli transition (17)</t>
  </si>
  <si>
    <t>Repli transition (18)</t>
  </si>
  <si>
    <t>Transition (14)</t>
  </si>
  <si>
    <t>Transition (13)</t>
  </si>
  <si>
    <t>Repli ER (9)</t>
  </si>
  <si>
    <t>Repli ER (8)</t>
  </si>
  <si>
    <t>Passes décisives (24)</t>
  </si>
  <si>
    <t>Déf + (37)</t>
  </si>
  <si>
    <t>Déf + (36)</t>
  </si>
  <si>
    <t>Déf + (35)</t>
  </si>
  <si>
    <t>Déf + (34)</t>
  </si>
  <si>
    <t>Att 1-5 (25)</t>
  </si>
  <si>
    <t>Att 1-5</t>
  </si>
  <si>
    <t>Att 1-5 (24)</t>
  </si>
  <si>
    <t>Att 1-5 (23)</t>
  </si>
  <si>
    <t>Att 1-5 (22)</t>
  </si>
  <si>
    <t>Att 1-5 (21)</t>
  </si>
  <si>
    <t>Att 1-5 (20)</t>
  </si>
  <si>
    <t>Att 1-5 (19)</t>
  </si>
  <si>
    <t>Att 1-5 (18)</t>
  </si>
  <si>
    <t>ouv plus glisser isoler</t>
  </si>
  <si>
    <t>Att 1-5 (17)</t>
  </si>
  <si>
    <t>Att 1-5 (16)</t>
  </si>
  <si>
    <t>Att 1-5 (15)</t>
  </si>
  <si>
    <t>Att 1-5 (14)</t>
  </si>
  <si>
    <t>Att 1-5 (13)</t>
  </si>
  <si>
    <t>Att 1-5 (12)</t>
  </si>
  <si>
    <t>W PVT 12</t>
  </si>
  <si>
    <t>Att 1-5 (11)</t>
  </si>
  <si>
    <t>Att 1-5 (10)</t>
  </si>
  <si>
    <t>Att 1-5 (9)</t>
  </si>
  <si>
    <t>Att 1-5 (8)</t>
  </si>
  <si>
    <t>Att 1-5 (7)</t>
  </si>
  <si>
    <t>Att 1-5 (6)</t>
  </si>
  <si>
    <t>Att 1-5 (5)</t>
  </si>
  <si>
    <t>Att 1-5 (4)</t>
  </si>
  <si>
    <t>Att 1-5 (3)</t>
  </si>
  <si>
    <t>Att 1-5 (2)</t>
  </si>
  <si>
    <t>Att 1-5 (1)</t>
  </si>
  <si>
    <t>0-6 (49)</t>
  </si>
  <si>
    <t>0-6 (48)</t>
  </si>
  <si>
    <t>0-6 (47)</t>
  </si>
  <si>
    <t>0-6 (46)</t>
  </si>
  <si>
    <t>0-6 (45)</t>
  </si>
  <si>
    <t>0-6 (44)</t>
  </si>
  <si>
    <t>0-6 (43)</t>
  </si>
  <si>
    <t>0-6 (42)</t>
  </si>
  <si>
    <t>0-6 (41)</t>
  </si>
  <si>
    <t>0-6 (40)</t>
  </si>
  <si>
    <t>0-6 (39)</t>
  </si>
  <si>
    <t>0-6 (38)</t>
  </si>
  <si>
    <t>0-6 (37)</t>
  </si>
  <si>
    <t>0-6 (36)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</si>
</sst>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%"/>
  </numFmts>
  <fonts count="23" x14ac:knownFonts="1">
    <font>
      <sz val="11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1"/>
      <color theme="1"/>
      <name val="Calibri"/>
      <family val="2"/>
      <charset val="1"/>
    </font>
    <font>
      <b/>
      <sz val="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i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16"/>
      <color theme="1"/>
      <name val="Tw Cen MT Condensed Extra Bold"/>
      <family val="2"/>
    </font>
    <font>
      <sz val="11"/>
      <color theme="0"/>
      <name val="Calibri"/>
      <family val="2"/>
      <scheme val="minor"/>
    </font>
    <font>
      <sz val="11"/>
      <color theme="1"/>
      <name val="Calibri"/>
      <family val="2"/>
    </font>
    <font>
      <sz val="20"/>
      <color theme="1"/>
      <name val="Tw Cen MT Condensed Extra Bold"/>
      <family val="2"/>
    </font>
    <font>
      <b/>
      <i/>
      <sz val="9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8"/>
      <color theme="1"/>
      <name val="Calibri"/>
      <family val="2"/>
      <scheme val="minor"/>
    </font>
    <font>
      <i/>
      <sz val="9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i/>
      <sz val="10"/>
      <color theme="1"/>
      <name val="Calibri"/>
      <family val="2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79998168889431442"/>
        <bgColor theme="9" tint="0.79998168889431442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9"/>
        <bgColor theme="9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975CCB"/>
        <bgColor indexed="64"/>
      </patternFill>
    </fill>
    <fill>
      <patternFill patternType="solid">
        <fgColor rgb="FF6373BA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DC3939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E9C1EA"/>
        <bgColor indexed="64"/>
      </patternFill>
    </fill>
  </fills>
  <borders count="7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532">
    <xf numFmtId="0" fontId="0" fillId="0" borderId="0" xfId="0"/>
    <xf numFmtId="0" fontId="1" fillId="0" borderId="1" xfId="0" applyFont="1" applyBorder="1" applyAlignment="1">
      <alignment wrapText="1"/>
    </xf>
    <xf numFmtId="0" fontId="3" fillId="0" borderId="1" xfId="0" applyFont="1" applyBorder="1" applyAlignment="1">
      <alignment wrapText="1"/>
    </xf>
    <xf numFmtId="0" fontId="3" fillId="0" borderId="1" xfId="0" applyFont="1" applyBorder="1" applyAlignment="1">
      <alignment horizontal="center" vertical="center"/>
    </xf>
    <xf numFmtId="9" fontId="3" fillId="0" borderId="1" xfId="1" applyFont="1" applyBorder="1" applyAlignment="1">
      <alignment horizontal="center" vertical="center"/>
    </xf>
    <xf numFmtId="0" fontId="1" fillId="0" borderId="4" xfId="0" applyFont="1" applyBorder="1" applyAlignment="1">
      <alignment wrapText="1"/>
    </xf>
    <xf numFmtId="0" fontId="1" fillId="2" borderId="4" xfId="0" applyFont="1" applyFill="1" applyBorder="1" applyAlignment="1">
      <alignment wrapText="1"/>
    </xf>
    <xf numFmtId="0" fontId="3" fillId="5" borderId="4" xfId="0" applyFont="1" applyFill="1" applyBorder="1" applyAlignment="1">
      <alignment horizontal="center" vertical="center" wrapText="1"/>
    </xf>
    <xf numFmtId="0" fontId="3" fillId="0" borderId="7" xfId="0" applyFont="1" applyBorder="1" applyAlignment="1">
      <alignment wrapText="1"/>
    </xf>
    <xf numFmtId="0" fontId="3" fillId="4" borderId="4" xfId="0" applyFont="1" applyFill="1" applyBorder="1" applyAlignment="1">
      <alignment horizontal="center" vertical="center" wrapText="1"/>
    </xf>
    <xf numFmtId="0" fontId="3" fillId="3" borderId="4" xfId="0" applyFont="1" applyFill="1" applyBorder="1" applyAlignment="1">
      <alignment horizontal="center" vertical="center" wrapText="1"/>
    </xf>
    <xf numFmtId="9" fontId="6" fillId="0" borderId="1" xfId="0" applyNumberFormat="1" applyFont="1" applyBorder="1" applyAlignment="1">
      <alignment horizontal="center" vertical="center"/>
    </xf>
    <xf numFmtId="0" fontId="0" fillId="0" borderId="1" xfId="0" applyBorder="1"/>
    <xf numFmtId="0" fontId="6" fillId="0" borderId="1" xfId="0" applyFont="1" applyBorder="1" applyAlignment="1">
      <alignment horizontal="center" vertical="center"/>
    </xf>
    <xf numFmtId="0" fontId="0" fillId="0" borderId="7" xfId="0" applyBorder="1"/>
    <xf numFmtId="0" fontId="4" fillId="0" borderId="7" xfId="0" applyFont="1" applyBorder="1" applyAlignment="1">
      <alignment horizontal="center" vertical="center"/>
    </xf>
    <xf numFmtId="0" fontId="6" fillId="0" borderId="9" xfId="0" applyFont="1" applyBorder="1" applyAlignment="1">
      <alignment horizontal="center" vertical="center"/>
    </xf>
    <xf numFmtId="0" fontId="0" fillId="8" borderId="32" xfId="0" applyFill="1" applyBorder="1"/>
    <xf numFmtId="0" fontId="0" fillId="8" borderId="33" xfId="0" applyFill="1" applyBorder="1"/>
    <xf numFmtId="0" fontId="0" fillId="0" borderId="32" xfId="0" applyBorder="1"/>
    <xf numFmtId="0" fontId="0" fillId="0" borderId="33" xfId="0" applyBorder="1"/>
    <xf numFmtId="0" fontId="8" fillId="8" borderId="32" xfId="0" applyFont="1" applyFill="1" applyBorder="1"/>
    <xf numFmtId="0" fontId="8" fillId="8" borderId="33" xfId="0" applyFont="1" applyFill="1" applyBorder="1"/>
    <xf numFmtId="0" fontId="8" fillId="0" borderId="32" xfId="0" applyFont="1" applyBorder="1"/>
    <xf numFmtId="0" fontId="8" fillId="0" borderId="33" xfId="0" applyFont="1" applyBorder="1"/>
    <xf numFmtId="164" fontId="7" fillId="0" borderId="1" xfId="0" applyNumberFormat="1" applyFont="1" applyBorder="1" applyAlignment="1">
      <alignment horizontal="center" vertical="center"/>
    </xf>
    <xf numFmtId="164" fontId="7" fillId="9" borderId="1" xfId="0" applyNumberFormat="1" applyFont="1" applyFill="1" applyBorder="1" applyAlignment="1">
      <alignment horizontal="center" vertical="center"/>
    </xf>
    <xf numFmtId="9" fontId="0" fillId="0" borderId="1" xfId="1" applyFont="1" applyBorder="1"/>
    <xf numFmtId="0" fontId="8" fillId="0" borderId="0" xfId="0" applyFont="1"/>
    <xf numFmtId="0" fontId="8" fillId="8" borderId="0" xfId="0" applyFont="1" applyFill="1"/>
    <xf numFmtId="0" fontId="0" fillId="8" borderId="0" xfId="0" applyFill="1"/>
    <xf numFmtId="0" fontId="0" fillId="0" borderId="21" xfId="0" applyBorder="1"/>
    <xf numFmtId="0" fontId="6" fillId="0" borderId="5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9" fontId="0" fillId="0" borderId="10" xfId="1" applyFont="1" applyBorder="1"/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9" fontId="0" fillId="0" borderId="8" xfId="1" applyFont="1" applyBorder="1"/>
    <xf numFmtId="0" fontId="11" fillId="0" borderId="6" xfId="0" applyFont="1" applyBorder="1" applyAlignment="1">
      <alignment horizontal="center" vertical="center" wrapText="1"/>
    </xf>
    <xf numFmtId="0" fontId="11" fillId="0" borderId="22" xfId="0" applyFont="1" applyBorder="1" applyAlignment="1">
      <alignment horizontal="center" vertical="center" wrapText="1"/>
    </xf>
    <xf numFmtId="0" fontId="11" fillId="0" borderId="7" xfId="0" applyFont="1" applyBorder="1" applyAlignment="1">
      <alignment horizontal="center" vertical="center" wrapText="1"/>
    </xf>
    <xf numFmtId="0" fontId="11" fillId="0" borderId="8" xfId="0" applyFont="1" applyBorder="1" applyAlignment="1">
      <alignment horizontal="center" vertical="center" wrapText="1"/>
    </xf>
    <xf numFmtId="0" fontId="11" fillId="0" borderId="15" xfId="0" applyFont="1" applyBorder="1" applyAlignment="1">
      <alignment horizontal="center" vertical="center" wrapText="1"/>
    </xf>
    <xf numFmtId="0" fontId="0" fillId="2" borderId="0" xfId="0" applyFill="1"/>
    <xf numFmtId="0" fontId="3" fillId="0" borderId="21" xfId="0" applyFont="1" applyBorder="1" applyAlignment="1">
      <alignment horizontal="center" vertical="center"/>
    </xf>
    <xf numFmtId="0" fontId="5" fillId="0" borderId="55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9" fontId="3" fillId="0" borderId="10" xfId="1" applyFont="1" applyBorder="1" applyAlignment="1">
      <alignment horizontal="center" vertical="center"/>
    </xf>
    <xf numFmtId="9" fontId="6" fillId="0" borderId="10" xfId="0" applyNumberFormat="1" applyFont="1" applyBorder="1" applyAlignment="1">
      <alignment horizontal="center" vertical="center"/>
    </xf>
    <xf numFmtId="0" fontId="3" fillId="0" borderId="61" xfId="0" applyFont="1" applyBorder="1" applyAlignment="1">
      <alignment horizontal="center" vertical="center"/>
    </xf>
    <xf numFmtId="0" fontId="3" fillId="0" borderId="26" xfId="0" applyFont="1" applyBorder="1" applyAlignment="1">
      <alignment horizontal="center" vertical="center"/>
    </xf>
    <xf numFmtId="0" fontId="7" fillId="0" borderId="27" xfId="0" applyFont="1" applyBorder="1" applyAlignment="1">
      <alignment horizontal="center" vertical="center"/>
    </xf>
    <xf numFmtId="0" fontId="7" fillId="0" borderId="28" xfId="0" applyFont="1" applyBorder="1" applyAlignment="1">
      <alignment horizontal="center" vertical="center"/>
    </xf>
    <xf numFmtId="0" fontId="3" fillId="0" borderId="39" xfId="0" applyFont="1" applyBorder="1" applyAlignment="1">
      <alignment horizontal="center" vertical="center"/>
    </xf>
    <xf numFmtId="0" fontId="3" fillId="0" borderId="37" xfId="0" applyFont="1" applyBorder="1" applyAlignment="1">
      <alignment horizontal="center" vertical="center"/>
    </xf>
    <xf numFmtId="0" fontId="3" fillId="0" borderId="40" xfId="0" applyFont="1" applyBorder="1" applyAlignment="1">
      <alignment horizontal="center" vertical="center"/>
    </xf>
    <xf numFmtId="164" fontId="7" fillId="2" borderId="1" xfId="0" applyNumberFormat="1" applyFont="1" applyFill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0" fillId="10" borderId="58" xfId="0" applyFont="1" applyFill="1" applyBorder="1"/>
    <xf numFmtId="0" fontId="10" fillId="10" borderId="51" xfId="0" applyFont="1" applyFill="1" applyBorder="1"/>
    <xf numFmtId="0" fontId="0" fillId="0" borderId="1" xfId="0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3" fillId="6" borderId="58" xfId="0" applyFont="1" applyFill="1" applyBorder="1" applyAlignment="1">
      <alignment horizontal="center" vertical="center"/>
    </xf>
    <xf numFmtId="0" fontId="3" fillId="0" borderId="34" xfId="0" applyFont="1" applyBorder="1" applyAlignment="1">
      <alignment horizontal="center" vertical="center"/>
    </xf>
    <xf numFmtId="164" fontId="7" fillId="0" borderId="10" xfId="0" applyNumberFormat="1" applyFont="1" applyBorder="1" applyAlignment="1">
      <alignment horizontal="center" vertical="center"/>
    </xf>
    <xf numFmtId="0" fontId="3" fillId="9" borderId="9" xfId="0" applyFont="1" applyFill="1" applyBorder="1" applyAlignment="1">
      <alignment horizontal="center" vertical="center"/>
    </xf>
    <xf numFmtId="164" fontId="7" fillId="9" borderId="10" xfId="0" applyNumberFormat="1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164" fontId="7" fillId="2" borderId="10" xfId="0" applyNumberFormat="1" applyFont="1" applyFill="1" applyBorder="1" applyAlignment="1">
      <alignment horizontal="center" vertical="center"/>
    </xf>
    <xf numFmtId="0" fontId="4" fillId="0" borderId="45" xfId="0" applyFont="1" applyBorder="1" applyAlignment="1">
      <alignment horizontal="center" vertical="center"/>
    </xf>
    <xf numFmtId="164" fontId="7" fillId="0" borderId="7" xfId="0" applyNumberFormat="1" applyFont="1" applyBorder="1" applyAlignment="1">
      <alignment horizontal="center" vertical="center"/>
    </xf>
    <xf numFmtId="164" fontId="7" fillId="0" borderId="8" xfId="0" applyNumberFormat="1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6" fillId="0" borderId="26" xfId="0" applyFont="1" applyBorder="1" applyAlignment="1">
      <alignment horizontal="center" vertical="center"/>
    </xf>
    <xf numFmtId="0" fontId="6" fillId="0" borderId="27" xfId="0" applyFont="1" applyBorder="1" applyAlignment="1">
      <alignment horizontal="center" vertical="center"/>
    </xf>
    <xf numFmtId="9" fontId="6" fillId="0" borderId="28" xfId="1" applyFont="1" applyBorder="1" applyAlignment="1">
      <alignment horizontal="center" vertical="center"/>
    </xf>
    <xf numFmtId="0" fontId="6" fillId="2" borderId="28" xfId="0" applyFont="1" applyFill="1" applyBorder="1" applyAlignment="1">
      <alignment horizontal="center" vertical="center"/>
    </xf>
    <xf numFmtId="9" fontId="6" fillId="0" borderId="10" xfId="1" applyFont="1" applyBorder="1" applyAlignment="1">
      <alignment horizontal="center" vertical="center"/>
    </xf>
    <xf numFmtId="9" fontId="6" fillId="0" borderId="1" xfId="1" applyFont="1" applyFill="1" applyBorder="1" applyAlignment="1">
      <alignment horizontal="center" vertical="center"/>
    </xf>
    <xf numFmtId="0" fontId="14" fillId="10" borderId="59" xfId="0" applyFont="1" applyFill="1" applyBorder="1"/>
    <xf numFmtId="0" fontId="0" fillId="8" borderId="31" xfId="0" applyFill="1" applyBorder="1"/>
    <xf numFmtId="0" fontId="0" fillId="0" borderId="31" xfId="0" applyBorder="1"/>
    <xf numFmtId="0" fontId="15" fillId="8" borderId="0" xfId="0" applyFont="1" applyFill="1"/>
    <xf numFmtId="0" fontId="15" fillId="0" borderId="0" xfId="0" applyFont="1"/>
    <xf numFmtId="0" fontId="15" fillId="0" borderId="31" xfId="0" applyFont="1" applyBorder="1"/>
    <xf numFmtId="0" fontId="15" fillId="8" borderId="31" xfId="0" applyFont="1" applyFill="1" applyBorder="1"/>
    <xf numFmtId="0" fontId="6" fillId="0" borderId="4" xfId="0" applyFont="1" applyBorder="1" applyAlignment="1">
      <alignment horizontal="center" vertical="center"/>
    </xf>
    <xf numFmtId="0" fontId="6" fillId="12" borderId="37" xfId="0" applyFont="1" applyFill="1" applyBorder="1" applyAlignment="1">
      <alignment horizontal="center" vertical="center" wrapText="1"/>
    </xf>
    <xf numFmtId="0" fontId="6" fillId="12" borderId="40" xfId="0" applyFont="1" applyFill="1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9" fontId="0" fillId="0" borderId="5" xfId="1" applyFont="1" applyBorder="1" applyAlignment="1">
      <alignment horizontal="center" vertical="center"/>
    </xf>
    <xf numFmtId="0" fontId="6" fillId="0" borderId="63" xfId="0" applyFont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/>
    </xf>
    <xf numFmtId="0" fontId="6" fillId="2" borderId="39" xfId="0" applyFont="1" applyFill="1" applyBorder="1" applyAlignment="1">
      <alignment horizontal="center" vertical="center"/>
    </xf>
    <xf numFmtId="0" fontId="6" fillId="0" borderId="40" xfId="0" applyFont="1" applyBorder="1" applyAlignment="1">
      <alignment horizontal="center" vertical="center"/>
    </xf>
    <xf numFmtId="0" fontId="0" fillId="2" borderId="1" xfId="0" applyFill="1" applyBorder="1"/>
    <xf numFmtId="0" fontId="0" fillId="2" borderId="2" xfId="0" applyFill="1" applyBorder="1"/>
    <xf numFmtId="0" fontId="6" fillId="2" borderId="2" xfId="0" applyFont="1" applyFill="1" applyBorder="1" applyAlignment="1">
      <alignment vertical="center"/>
    </xf>
    <xf numFmtId="0" fontId="0" fillId="2" borderId="37" xfId="0" applyFill="1" applyBorder="1"/>
    <xf numFmtId="0" fontId="0" fillId="2" borderId="4" xfId="0" applyFill="1" applyBorder="1"/>
    <xf numFmtId="0" fontId="0" fillId="0" borderId="4" xfId="0" applyBorder="1"/>
    <xf numFmtId="9" fontId="0" fillId="0" borderId="4" xfId="1" applyFont="1" applyBorder="1"/>
    <xf numFmtId="9" fontId="0" fillId="0" borderId="5" xfId="1" applyFont="1" applyBorder="1"/>
    <xf numFmtId="0" fontId="0" fillId="2" borderId="7" xfId="0" applyFill="1" applyBorder="1"/>
    <xf numFmtId="9" fontId="0" fillId="0" borderId="7" xfId="1" applyFont="1" applyBorder="1"/>
    <xf numFmtId="0" fontId="0" fillId="0" borderId="37" xfId="0" applyBorder="1"/>
    <xf numFmtId="9" fontId="0" fillId="0" borderId="37" xfId="1" applyFont="1" applyBorder="1"/>
    <xf numFmtId="9" fontId="0" fillId="0" borderId="40" xfId="1" applyFont="1" applyBorder="1"/>
    <xf numFmtId="0" fontId="6" fillId="12" borderId="36" xfId="0" applyFont="1" applyFill="1" applyBorder="1" applyAlignment="1">
      <alignment horizontal="center" vertical="center" wrapText="1"/>
    </xf>
    <xf numFmtId="0" fontId="0" fillId="2" borderId="38" xfId="0" applyFill="1" applyBorder="1"/>
    <xf numFmtId="0" fontId="0" fillId="2" borderId="13" xfId="0" applyFill="1" applyBorder="1"/>
    <xf numFmtId="0" fontId="0" fillId="2" borderId="14" xfId="0" applyFill="1" applyBorder="1"/>
    <xf numFmtId="0" fontId="0" fillId="2" borderId="15" xfId="0" applyFill="1" applyBorder="1"/>
    <xf numFmtId="0" fontId="0" fillId="0" borderId="20" xfId="0" applyBorder="1"/>
    <xf numFmtId="0" fontId="0" fillId="0" borderId="22" xfId="0" applyBorder="1"/>
    <xf numFmtId="0" fontId="0" fillId="0" borderId="36" xfId="0" applyBorder="1"/>
    <xf numFmtId="0" fontId="6" fillId="0" borderId="2" xfId="0" applyFont="1" applyBorder="1" applyAlignment="1">
      <alignment horizontal="center" vertical="center" wrapText="1"/>
    </xf>
    <xf numFmtId="0" fontId="6" fillId="0" borderId="53" xfId="0" applyFont="1" applyBorder="1" applyAlignment="1">
      <alignment horizontal="center" vertical="center" wrapText="1"/>
    </xf>
    <xf numFmtId="0" fontId="6" fillId="0" borderId="64" xfId="0" applyFont="1" applyBorder="1" applyAlignment="1">
      <alignment horizontal="center" vertical="center" wrapText="1"/>
    </xf>
    <xf numFmtId="0" fontId="0" fillId="2" borderId="35" xfId="0" applyFill="1" applyBorder="1" applyAlignment="1">
      <alignment horizontal="center" vertical="center"/>
    </xf>
    <xf numFmtId="0" fontId="0" fillId="2" borderId="50" xfId="0" applyFill="1" applyBorder="1" applyAlignment="1">
      <alignment horizontal="center" vertical="center"/>
    </xf>
    <xf numFmtId="0" fontId="0" fillId="2" borderId="58" xfId="0" applyFill="1" applyBorder="1" applyAlignment="1">
      <alignment horizontal="center" vertical="center"/>
    </xf>
    <xf numFmtId="0" fontId="4" fillId="13" borderId="35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 wrapText="1"/>
    </xf>
    <xf numFmtId="2" fontId="0" fillId="0" borderId="1" xfId="1" applyNumberFormat="1" applyFont="1" applyBorder="1" applyAlignment="1">
      <alignment horizontal="center" vertical="center"/>
    </xf>
    <xf numFmtId="1" fontId="0" fillId="0" borderId="1" xfId="1" applyNumberFormat="1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6" fillId="2" borderId="9" xfId="0" applyFont="1" applyFill="1" applyBorder="1"/>
    <xf numFmtId="0" fontId="0" fillId="2" borderId="1" xfId="0" applyFill="1" applyBorder="1" applyAlignment="1">
      <alignment horizontal="center"/>
    </xf>
    <xf numFmtId="1" fontId="0" fillId="0" borderId="1" xfId="0" applyNumberFormat="1" applyBorder="1" applyAlignment="1">
      <alignment horizontal="center" vertical="center"/>
    </xf>
    <xf numFmtId="0" fontId="0" fillId="17" borderId="1" xfId="0" applyFill="1" applyBorder="1"/>
    <xf numFmtId="0" fontId="0" fillId="17" borderId="9" xfId="0" applyFill="1" applyBorder="1"/>
    <xf numFmtId="0" fontId="0" fillId="2" borderId="4" xfId="0" applyFill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6" fillId="0" borderId="9" xfId="0" applyFont="1" applyBorder="1" applyAlignment="1">
      <alignment horizontal="center"/>
    </xf>
    <xf numFmtId="1" fontId="0" fillId="0" borderId="1" xfId="0" applyNumberFormat="1" applyBorder="1" applyAlignment="1">
      <alignment horizontal="center"/>
    </xf>
    <xf numFmtId="0" fontId="6" fillId="0" borderId="48" xfId="0" applyFont="1" applyBorder="1" applyAlignment="1">
      <alignment horizontal="center" vertical="center"/>
    </xf>
    <xf numFmtId="1" fontId="0" fillId="0" borderId="2" xfId="0" applyNumberFormat="1" applyBorder="1" applyAlignment="1">
      <alignment horizontal="center" vertical="center"/>
    </xf>
    <xf numFmtId="1" fontId="0" fillId="0" borderId="2" xfId="1" applyNumberFormat="1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1" fontId="0" fillId="0" borderId="2" xfId="0" applyNumberFormat="1" applyBorder="1" applyAlignment="1">
      <alignment horizontal="center"/>
    </xf>
    <xf numFmtId="1" fontId="6" fillId="0" borderId="39" xfId="0" applyNumberFormat="1" applyFont="1" applyBorder="1" applyAlignment="1">
      <alignment horizontal="center"/>
    </xf>
    <xf numFmtId="1" fontId="6" fillId="0" borderId="37" xfId="0" applyNumberFormat="1" applyFont="1" applyBorder="1" applyAlignment="1">
      <alignment horizontal="center"/>
    </xf>
    <xf numFmtId="0" fontId="1" fillId="0" borderId="9" xfId="0" applyFont="1" applyBorder="1" applyAlignment="1">
      <alignment horizontal="center" vertical="center"/>
    </xf>
    <xf numFmtId="0" fontId="17" fillId="0" borderId="9" xfId="0" applyFont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164" fontId="11" fillId="0" borderId="1" xfId="0" applyNumberFormat="1" applyFont="1" applyBorder="1" applyAlignment="1">
      <alignment horizontal="center" vertical="center"/>
    </xf>
    <xf numFmtId="0" fontId="6" fillId="12" borderId="0" xfId="0" applyFont="1" applyFill="1" applyAlignment="1">
      <alignment horizontal="center" vertical="center" wrapText="1"/>
    </xf>
    <xf numFmtId="9" fontId="0" fillId="0" borderId="0" xfId="1" applyFont="1"/>
    <xf numFmtId="2" fontId="0" fillId="0" borderId="3" xfId="0" applyNumberFormat="1" applyBorder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1" fontId="0" fillId="18" borderId="1" xfId="0" applyNumberFormat="1" applyFill="1" applyBorder="1" applyAlignment="1">
      <alignment horizontal="center" vertical="center"/>
    </xf>
    <xf numFmtId="1" fontId="6" fillId="0" borderId="2" xfId="0" applyNumberFormat="1" applyFont="1" applyBorder="1" applyAlignment="1">
      <alignment horizontal="center"/>
    </xf>
    <xf numFmtId="0" fontId="11" fillId="0" borderId="1" xfId="0" applyFont="1" applyBorder="1" applyAlignment="1">
      <alignment horizontal="center" vertical="center" wrapText="1"/>
    </xf>
    <xf numFmtId="1" fontId="6" fillId="0" borderId="36" xfId="0" applyNumberFormat="1" applyFont="1" applyBorder="1" applyAlignment="1">
      <alignment horizontal="center"/>
    </xf>
    <xf numFmtId="0" fontId="9" fillId="0" borderId="3" xfId="0" applyFont="1" applyBorder="1" applyAlignment="1">
      <alignment horizontal="center" vertical="center" wrapText="1"/>
    </xf>
    <xf numFmtId="0" fontId="17" fillId="3" borderId="24" xfId="0" applyFont="1" applyFill="1" applyBorder="1" applyAlignment="1">
      <alignment horizontal="center" vertical="center" wrapText="1"/>
    </xf>
    <xf numFmtId="0" fontId="17" fillId="3" borderId="52" xfId="0" applyFont="1" applyFill="1" applyBorder="1" applyAlignment="1">
      <alignment horizontal="center" vertical="center" wrapText="1"/>
    </xf>
    <xf numFmtId="0" fontId="17" fillId="3" borderId="53" xfId="0" applyFont="1" applyFill="1" applyBorder="1" applyAlignment="1">
      <alignment horizontal="center" vertical="center" wrapText="1"/>
    </xf>
    <xf numFmtId="0" fontId="17" fillId="3" borderId="54" xfId="0" applyFont="1" applyFill="1" applyBorder="1" applyAlignment="1">
      <alignment horizontal="center" vertical="center" wrapText="1"/>
    </xf>
    <xf numFmtId="0" fontId="17" fillId="3" borderId="40" xfId="0" applyFont="1" applyFill="1" applyBorder="1" applyAlignment="1">
      <alignment horizontal="center" vertical="center" wrapText="1"/>
    </xf>
    <xf numFmtId="17" fontId="17" fillId="0" borderId="16" xfId="0" applyNumberFormat="1" applyFont="1" applyBorder="1" applyAlignment="1">
      <alignment horizontal="center" vertical="center" wrapText="1"/>
    </xf>
    <xf numFmtId="0" fontId="20" fillId="0" borderId="20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vertical="center" wrapText="1"/>
    </xf>
    <xf numFmtId="9" fontId="20" fillId="0" borderId="13" xfId="1" applyFont="1" applyBorder="1" applyAlignment="1">
      <alignment horizontal="center" vertical="center" wrapText="1"/>
    </xf>
    <xf numFmtId="0" fontId="18" fillId="0" borderId="3" xfId="0" applyFont="1" applyBorder="1" applyAlignment="1">
      <alignment horizontal="center" vertical="center"/>
    </xf>
    <xf numFmtId="164" fontId="18" fillId="0" borderId="5" xfId="0" applyNumberFormat="1" applyFont="1" applyBorder="1" applyAlignment="1">
      <alignment horizontal="center" vertical="center"/>
    </xf>
    <xf numFmtId="17" fontId="17" fillId="0" borderId="17" xfId="0" applyNumberFormat="1" applyFont="1" applyBorder="1" applyAlignment="1">
      <alignment horizontal="center" vertical="center" wrapText="1"/>
    </xf>
    <xf numFmtId="0" fontId="20" fillId="0" borderId="21" xfId="0" applyFont="1" applyBorder="1" applyAlignment="1">
      <alignment horizontal="center" vertical="center" wrapText="1"/>
    </xf>
    <xf numFmtId="0" fontId="20" fillId="0" borderId="1" xfId="0" applyFont="1" applyBorder="1" applyAlignment="1">
      <alignment horizontal="center" vertical="center" wrapText="1"/>
    </xf>
    <xf numFmtId="9" fontId="20" fillId="0" borderId="14" xfId="1" applyFont="1" applyBorder="1" applyAlignment="1">
      <alignment horizontal="center" vertical="center" wrapText="1"/>
    </xf>
    <xf numFmtId="0" fontId="18" fillId="0" borderId="9" xfId="0" applyFont="1" applyBorder="1" applyAlignment="1">
      <alignment horizontal="center" vertical="center"/>
    </xf>
    <xf numFmtId="164" fontId="18" fillId="0" borderId="10" xfId="0" applyNumberFormat="1" applyFont="1" applyBorder="1" applyAlignment="1">
      <alignment horizontal="center" vertical="center"/>
    </xf>
    <xf numFmtId="0" fontId="18" fillId="2" borderId="56" xfId="0" applyFont="1" applyFill="1" applyBorder="1" applyAlignment="1">
      <alignment horizontal="center" vertical="center"/>
    </xf>
    <xf numFmtId="0" fontId="17" fillId="0" borderId="17" xfId="0" applyFont="1" applyBorder="1" applyAlignment="1">
      <alignment horizontal="center" vertical="center" wrapText="1"/>
    </xf>
    <xf numFmtId="0" fontId="18" fillId="2" borderId="57" xfId="0" applyFont="1" applyFill="1" applyBorder="1" applyAlignment="1">
      <alignment horizontal="center" vertical="center"/>
    </xf>
    <xf numFmtId="0" fontId="17" fillId="0" borderId="19" xfId="0" applyFont="1" applyBorder="1" applyAlignment="1">
      <alignment horizontal="center" vertical="center" wrapText="1"/>
    </xf>
    <xf numFmtId="0" fontId="17" fillId="2" borderId="42" xfId="0" applyFont="1" applyFill="1" applyBorder="1" applyAlignment="1">
      <alignment horizontal="center" vertical="center" wrapText="1"/>
    </xf>
    <xf numFmtId="0" fontId="20" fillId="2" borderId="26" xfId="0" applyFont="1" applyFill="1" applyBorder="1" applyAlignment="1">
      <alignment horizontal="center" vertical="center" wrapText="1"/>
    </xf>
    <xf numFmtId="0" fontId="20" fillId="2" borderId="27" xfId="0" applyFont="1" applyFill="1" applyBorder="1" applyAlignment="1">
      <alignment horizontal="center" vertical="center" wrapText="1"/>
    </xf>
    <xf numFmtId="0" fontId="20" fillId="2" borderId="46" xfId="0" applyFont="1" applyFill="1" applyBorder="1" applyAlignment="1">
      <alignment horizontal="center" vertical="center" wrapText="1"/>
    </xf>
    <xf numFmtId="9" fontId="20" fillId="2" borderId="42" xfId="1" applyFont="1" applyFill="1" applyBorder="1" applyAlignment="1">
      <alignment horizontal="center" vertical="center" wrapText="1"/>
    </xf>
    <xf numFmtId="0" fontId="18" fillId="2" borderId="41" xfId="0" applyFont="1" applyFill="1" applyBorder="1" applyAlignment="1">
      <alignment horizontal="center" vertical="center"/>
    </xf>
    <xf numFmtId="164" fontId="18" fillId="2" borderId="27" xfId="0" applyNumberFormat="1" applyFont="1" applyFill="1" applyBorder="1" applyAlignment="1">
      <alignment horizontal="center" vertical="center"/>
    </xf>
    <xf numFmtId="0" fontId="18" fillId="2" borderId="12" xfId="0" applyFont="1" applyFill="1" applyBorder="1" applyAlignment="1">
      <alignment horizontal="center" vertical="center"/>
    </xf>
    <xf numFmtId="0" fontId="17" fillId="2" borderId="17" xfId="0" applyFont="1" applyFill="1" applyBorder="1" applyAlignment="1">
      <alignment horizontal="center" vertical="center" wrapText="1"/>
    </xf>
    <xf numFmtId="0" fontId="20" fillId="2" borderId="9" xfId="0" applyFont="1" applyFill="1" applyBorder="1" applyAlignment="1">
      <alignment horizontal="center" vertical="center" wrapText="1"/>
    </xf>
    <xf numFmtId="0" fontId="20" fillId="2" borderId="1" xfId="0" applyFont="1" applyFill="1" applyBorder="1" applyAlignment="1">
      <alignment horizontal="center" vertical="center" wrapText="1"/>
    </xf>
    <xf numFmtId="0" fontId="20" fillId="2" borderId="14" xfId="0" applyFont="1" applyFill="1" applyBorder="1" applyAlignment="1">
      <alignment horizontal="center" vertical="center" wrapText="1"/>
    </xf>
    <xf numFmtId="9" fontId="20" fillId="2" borderId="17" xfId="1" applyFont="1" applyFill="1" applyBorder="1" applyAlignment="1">
      <alignment horizontal="center" vertical="center" wrapText="1"/>
    </xf>
    <xf numFmtId="0" fontId="18" fillId="2" borderId="21" xfId="0" applyFont="1" applyFill="1" applyBorder="1" applyAlignment="1">
      <alignment horizontal="center" vertical="center"/>
    </xf>
    <xf numFmtId="164" fontId="18" fillId="2" borderId="1" xfId="0" applyNumberFormat="1" applyFont="1" applyFill="1" applyBorder="1" applyAlignment="1">
      <alignment horizontal="center" vertical="center"/>
    </xf>
    <xf numFmtId="0" fontId="17" fillId="2" borderId="19" xfId="0" applyFont="1" applyFill="1" applyBorder="1" applyAlignment="1">
      <alignment horizontal="center" vertical="center" wrapText="1"/>
    </xf>
    <xf numFmtId="0" fontId="17" fillId="0" borderId="16" xfId="0" applyFont="1" applyBorder="1" applyAlignment="1">
      <alignment horizontal="center" vertical="center"/>
    </xf>
    <xf numFmtId="0" fontId="20" fillId="0" borderId="9" xfId="0" applyFont="1" applyBorder="1" applyAlignment="1">
      <alignment horizontal="center" vertical="center" wrapText="1"/>
    </xf>
    <xf numFmtId="0" fontId="20" fillId="0" borderId="14" xfId="0" applyFont="1" applyBorder="1" applyAlignment="1">
      <alignment horizontal="center" vertical="center" wrapText="1"/>
    </xf>
    <xf numFmtId="9" fontId="20" fillId="0" borderId="17" xfId="1" applyFont="1" applyBorder="1" applyAlignment="1">
      <alignment horizontal="center" vertical="center" wrapText="1"/>
    </xf>
    <xf numFmtId="0" fontId="18" fillId="0" borderId="21" xfId="0" applyFont="1" applyBorder="1" applyAlignment="1">
      <alignment horizontal="center" vertical="center"/>
    </xf>
    <xf numFmtId="164" fontId="18" fillId="0" borderId="1" xfId="0" applyNumberFormat="1" applyFont="1" applyBorder="1" applyAlignment="1">
      <alignment horizontal="center" vertical="center"/>
    </xf>
    <xf numFmtId="0" fontId="18" fillId="2" borderId="5" xfId="0" applyFont="1" applyFill="1" applyBorder="1" applyAlignment="1">
      <alignment horizontal="center" vertical="center"/>
    </xf>
    <xf numFmtId="0" fontId="17" fillId="0" borderId="17" xfId="0" applyFont="1" applyBorder="1" applyAlignment="1">
      <alignment horizontal="center" vertical="center"/>
    </xf>
    <xf numFmtId="0" fontId="18" fillId="2" borderId="10" xfId="0" applyFont="1" applyFill="1" applyBorder="1" applyAlignment="1">
      <alignment horizontal="center" vertical="center"/>
    </xf>
    <xf numFmtId="0" fontId="18" fillId="2" borderId="18" xfId="0" applyFont="1" applyFill="1" applyBorder="1" applyAlignment="1">
      <alignment horizontal="center" vertical="center"/>
    </xf>
    <xf numFmtId="0" fontId="18" fillId="2" borderId="8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11" fillId="0" borderId="22" xfId="0" applyFont="1" applyBorder="1" applyAlignment="1">
      <alignment horizontal="center" wrapText="1"/>
    </xf>
    <xf numFmtId="0" fontId="11" fillId="0" borderId="7" xfId="0" applyFont="1" applyBorder="1" applyAlignment="1">
      <alignment horizontal="center" wrapText="1"/>
    </xf>
    <xf numFmtId="0" fontId="11" fillId="0" borderId="15" xfId="0" applyFont="1" applyBorder="1" applyAlignment="1">
      <alignment horizontal="center" wrapText="1"/>
    </xf>
    <xf numFmtId="0" fontId="11" fillId="0" borderId="8" xfId="0" applyFont="1" applyBorder="1" applyAlignment="1">
      <alignment horizontal="center" wrapText="1"/>
    </xf>
    <xf numFmtId="0" fontId="6" fillId="2" borderId="14" xfId="0" applyFont="1" applyFill="1" applyBorder="1" applyAlignment="1">
      <alignment horizontal="center" vertical="center"/>
    </xf>
    <xf numFmtId="0" fontId="0" fillId="2" borderId="43" xfId="0" applyFill="1" applyBorder="1" applyAlignment="1">
      <alignment horizontal="center"/>
    </xf>
    <xf numFmtId="0" fontId="0" fillId="2" borderId="35" xfId="0" applyFill="1" applyBorder="1" applyAlignment="1">
      <alignment horizontal="center"/>
    </xf>
    <xf numFmtId="0" fontId="0" fillId="2" borderId="65" xfId="0" applyFill="1" applyBorder="1" applyAlignment="1">
      <alignment horizontal="center"/>
    </xf>
    <xf numFmtId="0" fontId="6" fillId="0" borderId="10" xfId="0" applyFont="1" applyBorder="1" applyAlignment="1">
      <alignment horizontal="center"/>
    </xf>
    <xf numFmtId="0" fontId="0" fillId="0" borderId="44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68" xfId="0" applyBorder="1" applyAlignment="1">
      <alignment horizontal="center"/>
    </xf>
    <xf numFmtId="0" fontId="11" fillId="0" borderId="6" xfId="0" applyFont="1" applyBorder="1" applyAlignment="1">
      <alignment horizontal="center" wrapText="1"/>
    </xf>
    <xf numFmtId="9" fontId="0" fillId="0" borderId="45" xfId="1" applyFont="1" applyBorder="1" applyAlignment="1">
      <alignment horizontal="center"/>
    </xf>
    <xf numFmtId="0" fontId="11" fillId="0" borderId="39" xfId="0" applyFont="1" applyBorder="1" applyAlignment="1">
      <alignment horizontal="center" vertical="center" wrapText="1"/>
    </xf>
    <xf numFmtId="0" fontId="11" fillId="0" borderId="36" xfId="0" applyFont="1" applyBorder="1" applyAlignment="1">
      <alignment horizontal="center" vertical="center" wrapText="1"/>
    </xf>
    <xf numFmtId="0" fontId="11" fillId="0" borderId="37" xfId="0" applyFont="1" applyBorder="1" applyAlignment="1">
      <alignment horizontal="center" vertical="center" wrapText="1"/>
    </xf>
    <xf numFmtId="0" fontId="11" fillId="0" borderId="38" xfId="0" applyFont="1" applyBorder="1" applyAlignment="1">
      <alignment horizontal="center" vertical="center" wrapText="1"/>
    </xf>
    <xf numFmtId="0" fontId="11" fillId="0" borderId="40" xfId="0" applyFont="1" applyBorder="1" applyAlignment="1">
      <alignment horizontal="center" vertical="center" wrapText="1"/>
    </xf>
    <xf numFmtId="9" fontId="0" fillId="0" borderId="45" xfId="1" applyFont="1" applyBorder="1"/>
    <xf numFmtId="9" fontId="0" fillId="0" borderId="50" xfId="1" applyFont="1" applyBorder="1"/>
    <xf numFmtId="9" fontId="0" fillId="0" borderId="69" xfId="1" applyFont="1" applyBorder="1"/>
    <xf numFmtId="0" fontId="6" fillId="0" borderId="2" xfId="0" applyFont="1" applyBorder="1" applyAlignment="1">
      <alignment horizontal="center" vertical="center"/>
    </xf>
    <xf numFmtId="0" fontId="3" fillId="20" borderId="4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wrapText="1"/>
    </xf>
    <xf numFmtId="9" fontId="1" fillId="0" borderId="1" xfId="1" applyFont="1" applyBorder="1" applyAlignment="1">
      <alignment wrapText="1"/>
    </xf>
    <xf numFmtId="9" fontId="1" fillId="0" borderId="1" xfId="1" applyFont="1" applyBorder="1" applyAlignment="1">
      <alignment horizontal="center" vertical="center" wrapText="1"/>
    </xf>
    <xf numFmtId="0" fontId="1" fillId="0" borderId="1" xfId="1" applyNumberFormat="1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wrapText="1"/>
    </xf>
    <xf numFmtId="9" fontId="3" fillId="0" borderId="1" xfId="1" applyFont="1" applyBorder="1" applyAlignment="1">
      <alignment wrapText="1"/>
    </xf>
    <xf numFmtId="9" fontId="1" fillId="2" borderId="1" xfId="1" applyFont="1" applyFill="1" applyBorder="1" applyAlignment="1">
      <alignment horizontal="center" vertical="center" wrapText="1"/>
    </xf>
    <xf numFmtId="9" fontId="1" fillId="0" borderId="10" xfId="1" applyFont="1" applyBorder="1" applyAlignment="1">
      <alignment horizontal="center" vertical="center" wrapText="1"/>
    </xf>
    <xf numFmtId="0" fontId="1" fillId="0" borderId="7" xfId="0" applyFont="1" applyBorder="1"/>
    <xf numFmtId="9" fontId="3" fillId="0" borderId="7" xfId="1" applyFont="1" applyBorder="1" applyAlignment="1">
      <alignment wrapText="1"/>
    </xf>
    <xf numFmtId="9" fontId="3" fillId="0" borderId="7" xfId="1" applyFont="1" applyBorder="1" applyAlignment="1">
      <alignment horizontal="center" vertical="center" wrapText="1"/>
    </xf>
    <xf numFmtId="0" fontId="1" fillId="0" borderId="7" xfId="1" applyNumberFormat="1" applyFont="1" applyBorder="1" applyAlignment="1">
      <alignment horizontal="center" vertical="center" wrapText="1"/>
    </xf>
    <xf numFmtId="9" fontId="3" fillId="17" borderId="8" xfId="1" applyFont="1" applyFill="1" applyBorder="1" applyAlignment="1">
      <alignment horizontal="center" vertical="center" wrapText="1"/>
    </xf>
    <xf numFmtId="0" fontId="1" fillId="0" borderId="4" xfId="0" applyFont="1" applyBorder="1"/>
    <xf numFmtId="9" fontId="3" fillId="0" borderId="4" xfId="1" applyFont="1" applyBorder="1" applyAlignment="1">
      <alignment wrapText="1"/>
    </xf>
    <xf numFmtId="9" fontId="3" fillId="0" borderId="4" xfId="1" applyFont="1" applyBorder="1" applyAlignment="1">
      <alignment horizontal="center" vertical="center" wrapText="1"/>
    </xf>
    <xf numFmtId="0" fontId="1" fillId="0" borderId="4" xfId="1" applyNumberFormat="1" applyFont="1" applyBorder="1" applyAlignment="1">
      <alignment horizontal="center" vertical="center" wrapText="1"/>
    </xf>
    <xf numFmtId="9" fontId="3" fillId="17" borderId="5" xfId="1" applyFont="1" applyFill="1" applyBorder="1" applyAlignment="1">
      <alignment horizontal="center" vertical="center" wrapText="1"/>
    </xf>
    <xf numFmtId="0" fontId="1" fillId="0" borderId="4" xfId="0" applyFont="1" applyBorder="1" applyAlignment="1">
      <alignment horizontal="center" wrapText="1"/>
    </xf>
    <xf numFmtId="9" fontId="1" fillId="0" borderId="4" xfId="1" applyFont="1" applyBorder="1" applyAlignment="1">
      <alignment wrapText="1"/>
    </xf>
    <xf numFmtId="9" fontId="1" fillId="0" borderId="4" xfId="1" applyFont="1" applyBorder="1" applyAlignment="1">
      <alignment horizontal="center" vertical="center" wrapText="1"/>
    </xf>
    <xf numFmtId="9" fontId="1" fillId="17" borderId="5" xfId="1" applyFont="1" applyFill="1" applyBorder="1" applyAlignment="1">
      <alignment horizontal="center" vertical="center" wrapText="1"/>
    </xf>
    <xf numFmtId="0" fontId="1" fillId="0" borderId="7" xfId="0" applyFont="1" applyBorder="1" applyAlignment="1">
      <alignment horizontal="center" wrapText="1"/>
    </xf>
    <xf numFmtId="0" fontId="1" fillId="0" borderId="7" xfId="0" applyFont="1" applyBorder="1" applyAlignment="1">
      <alignment wrapText="1"/>
    </xf>
    <xf numFmtId="0" fontId="1" fillId="2" borderId="7" xfId="0" applyFont="1" applyFill="1" applyBorder="1" applyAlignment="1">
      <alignment wrapText="1"/>
    </xf>
    <xf numFmtId="9" fontId="1" fillId="0" borderId="7" xfId="1" applyFont="1" applyBorder="1" applyAlignment="1">
      <alignment wrapText="1"/>
    </xf>
    <xf numFmtId="9" fontId="1" fillId="0" borderId="7" xfId="1" applyFont="1" applyBorder="1" applyAlignment="1">
      <alignment horizontal="center" vertical="center" wrapText="1"/>
    </xf>
    <xf numFmtId="9" fontId="1" fillId="17" borderId="8" xfId="1" applyFont="1" applyFill="1" applyBorder="1" applyAlignment="1">
      <alignment horizontal="center" vertical="center" wrapText="1"/>
    </xf>
    <xf numFmtId="9" fontId="3" fillId="5" borderId="4" xfId="1" applyFont="1" applyFill="1" applyBorder="1" applyAlignment="1">
      <alignment horizontal="center" vertical="center" wrapText="1"/>
    </xf>
    <xf numFmtId="9" fontId="3" fillId="5" borderId="5" xfId="1" applyFont="1" applyFill="1" applyBorder="1" applyAlignment="1">
      <alignment horizontal="center" vertical="center" wrapText="1"/>
    </xf>
    <xf numFmtId="0" fontId="3" fillId="0" borderId="7" xfId="0" applyFont="1" applyBorder="1" applyAlignment="1">
      <alignment horizontal="center" wrapText="1"/>
    </xf>
    <xf numFmtId="9" fontId="3" fillId="6" borderId="7" xfId="1" applyFont="1" applyFill="1" applyBorder="1" applyAlignment="1">
      <alignment wrapText="1"/>
    </xf>
    <xf numFmtId="9" fontId="1" fillId="0" borderId="8" xfId="1" applyFont="1" applyBorder="1" applyAlignment="1">
      <alignment horizontal="center" vertical="center" wrapText="1"/>
    </xf>
    <xf numFmtId="0" fontId="1" fillId="20" borderId="4" xfId="0" applyFont="1" applyFill="1" applyBorder="1" applyAlignment="1">
      <alignment horizontal="center" wrapText="1"/>
    </xf>
    <xf numFmtId="9" fontId="3" fillId="20" borderId="4" xfId="1" applyFont="1" applyFill="1" applyBorder="1" applyAlignment="1">
      <alignment horizontal="center" vertical="center" wrapText="1"/>
    </xf>
    <xf numFmtId="9" fontId="3" fillId="20" borderId="5" xfId="1" applyFont="1" applyFill="1" applyBorder="1" applyAlignment="1">
      <alignment horizontal="center" vertical="center" wrapText="1"/>
    </xf>
    <xf numFmtId="0" fontId="3" fillId="4" borderId="4" xfId="0" applyFont="1" applyFill="1" applyBorder="1" applyAlignment="1">
      <alignment horizontal="center" wrapText="1"/>
    </xf>
    <xf numFmtId="9" fontId="3" fillId="4" borderId="4" xfId="1" applyFont="1" applyFill="1" applyBorder="1" applyAlignment="1">
      <alignment horizontal="center" vertical="center" wrapText="1"/>
    </xf>
    <xf numFmtId="9" fontId="3" fillId="4" borderId="5" xfId="1" applyFont="1" applyFill="1" applyBorder="1" applyAlignment="1">
      <alignment horizontal="center" vertical="center" wrapText="1"/>
    </xf>
    <xf numFmtId="9" fontId="3" fillId="5" borderId="7" xfId="1" applyFont="1" applyFill="1" applyBorder="1" applyAlignment="1">
      <alignment wrapText="1"/>
    </xf>
    <xf numFmtId="0" fontId="3" fillId="3" borderId="4" xfId="0" applyFont="1" applyFill="1" applyBorder="1" applyAlignment="1">
      <alignment horizontal="center" wrapText="1"/>
    </xf>
    <xf numFmtId="0" fontId="3" fillId="3" borderId="5" xfId="0" applyFont="1" applyFill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/>
    </xf>
    <xf numFmtId="0" fontId="1" fillId="0" borderId="47" xfId="0" applyFont="1" applyBorder="1" applyAlignment="1">
      <alignment horizontal="center" vertical="center"/>
    </xf>
    <xf numFmtId="0" fontId="17" fillId="0" borderId="47" xfId="0" applyFont="1" applyBorder="1" applyAlignment="1">
      <alignment horizontal="center" vertical="center"/>
    </xf>
    <xf numFmtId="0" fontId="17" fillId="0" borderId="48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17" fillId="0" borderId="39" xfId="0" applyFont="1" applyBorder="1" applyAlignment="1">
      <alignment horizontal="center" vertical="center" wrapText="1"/>
    </xf>
    <xf numFmtId="0" fontId="12" fillId="0" borderId="9" xfId="0" applyFont="1" applyBorder="1" applyAlignment="1">
      <alignment horizontal="center" vertical="center"/>
    </xf>
    <xf numFmtId="0" fontId="12" fillId="2" borderId="1" xfId="0" applyFont="1" applyFill="1" applyBorder="1" applyAlignment="1">
      <alignment horizontal="center"/>
    </xf>
    <xf numFmtId="1" fontId="12" fillId="0" borderId="1" xfId="1" applyNumberFormat="1" applyFont="1" applyBorder="1" applyAlignment="1">
      <alignment horizontal="center" vertical="center"/>
    </xf>
    <xf numFmtId="1" fontId="12" fillId="0" borderId="1" xfId="1" applyNumberFormat="1" applyFont="1" applyFill="1" applyBorder="1" applyAlignment="1">
      <alignment horizontal="center" vertical="center"/>
    </xf>
    <xf numFmtId="1" fontId="12" fillId="0" borderId="2" xfId="1" applyNumberFormat="1" applyFont="1" applyBorder="1" applyAlignment="1">
      <alignment horizontal="center" vertical="center"/>
    </xf>
    <xf numFmtId="1" fontId="12" fillId="0" borderId="2" xfId="1" applyNumberFormat="1" applyFont="1" applyFill="1" applyBorder="1" applyAlignment="1">
      <alignment horizontal="center" vertical="center"/>
    </xf>
    <xf numFmtId="1" fontId="11" fillId="0" borderId="53" xfId="0" applyNumberFormat="1" applyFont="1" applyBorder="1" applyAlignment="1">
      <alignment horizontal="center"/>
    </xf>
    <xf numFmtId="9" fontId="12" fillId="0" borderId="6" xfId="1" applyFont="1" applyBorder="1" applyAlignment="1">
      <alignment horizontal="center" vertical="center"/>
    </xf>
    <xf numFmtId="9" fontId="12" fillId="0" borderId="7" xfId="1" applyFont="1" applyBorder="1" applyAlignment="1">
      <alignment horizontal="center" vertical="center"/>
    </xf>
    <xf numFmtId="9" fontId="12" fillId="0" borderId="8" xfId="1" applyFont="1" applyBorder="1" applyAlignment="1">
      <alignment horizontal="center" vertical="center"/>
    </xf>
    <xf numFmtId="0" fontId="12" fillId="2" borderId="1" xfId="0" applyFont="1" applyFill="1" applyBorder="1"/>
    <xf numFmtId="0" fontId="12" fillId="2" borderId="10" xfId="0" applyFont="1" applyFill="1" applyBorder="1"/>
    <xf numFmtId="1" fontId="12" fillId="0" borderId="10" xfId="1" applyNumberFormat="1" applyFont="1" applyBorder="1" applyAlignment="1">
      <alignment horizontal="center" vertical="center"/>
    </xf>
    <xf numFmtId="0" fontId="12" fillId="17" borderId="1" xfId="0" applyFont="1" applyFill="1" applyBorder="1"/>
    <xf numFmtId="0" fontId="12" fillId="17" borderId="10" xfId="0" applyFont="1" applyFill="1" applyBorder="1"/>
    <xf numFmtId="1" fontId="11" fillId="0" borderId="2" xfId="0" applyNumberFormat="1" applyFont="1" applyBorder="1" applyAlignment="1">
      <alignment horizontal="center"/>
    </xf>
    <xf numFmtId="1" fontId="11" fillId="0" borderId="12" xfId="0" applyNumberFormat="1" applyFont="1" applyBorder="1" applyAlignment="1">
      <alignment horizontal="center"/>
    </xf>
    <xf numFmtId="9" fontId="19" fillId="0" borderId="1" xfId="1" applyFont="1" applyBorder="1" applyAlignment="1">
      <alignment horizontal="center" vertical="center"/>
    </xf>
    <xf numFmtId="0" fontId="4" fillId="0" borderId="35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 wrapText="1"/>
    </xf>
    <xf numFmtId="0" fontId="12" fillId="0" borderId="26" xfId="0" applyFont="1" applyBorder="1" applyAlignment="1">
      <alignment horizontal="center" vertical="center"/>
    </xf>
    <xf numFmtId="0" fontId="12" fillId="0" borderId="27" xfId="0" applyFont="1" applyBorder="1" applyAlignment="1">
      <alignment horizontal="center" vertical="center"/>
    </xf>
    <xf numFmtId="0" fontId="12" fillId="0" borderId="28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67" xfId="0" applyFont="1" applyBorder="1" applyAlignment="1">
      <alignment horizontal="center" vertical="center"/>
    </xf>
    <xf numFmtId="0" fontId="6" fillId="0" borderId="54" xfId="0" applyFont="1" applyBorder="1" applyAlignment="1">
      <alignment horizontal="center" vertical="center" wrapText="1"/>
    </xf>
    <xf numFmtId="9" fontId="0" fillId="0" borderId="13" xfId="1" applyFont="1" applyBorder="1" applyAlignment="1">
      <alignment horizontal="center" vertical="center"/>
    </xf>
    <xf numFmtId="0" fontId="0" fillId="0" borderId="1" xfId="1" applyNumberFormat="1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9" fontId="0" fillId="0" borderId="10" xfId="1" applyFont="1" applyBorder="1" applyAlignment="1">
      <alignment horizontal="center" vertical="center"/>
    </xf>
    <xf numFmtId="0" fontId="0" fillId="0" borderId="10" xfId="1" applyNumberFormat="1" applyFont="1" applyBorder="1" applyAlignment="1">
      <alignment horizontal="center" vertical="center"/>
    </xf>
    <xf numFmtId="9" fontId="0" fillId="21" borderId="9" xfId="1" applyFont="1" applyFill="1" applyBorder="1" applyAlignment="1">
      <alignment horizontal="center" vertical="center"/>
    </xf>
    <xf numFmtId="9" fontId="0" fillId="21" borderId="1" xfId="1" applyFont="1" applyFill="1" applyBorder="1" applyAlignment="1">
      <alignment horizontal="center" vertical="center"/>
    </xf>
    <xf numFmtId="9" fontId="0" fillId="21" borderId="10" xfId="1" applyFont="1" applyFill="1" applyBorder="1" applyAlignment="1">
      <alignment horizontal="center" vertical="center"/>
    </xf>
    <xf numFmtId="9" fontId="0" fillId="21" borderId="6" xfId="1" applyFont="1" applyFill="1" applyBorder="1" applyAlignment="1">
      <alignment horizontal="center" vertical="center"/>
    </xf>
    <xf numFmtId="9" fontId="0" fillId="21" borderId="7" xfId="1" applyFont="1" applyFill="1" applyBorder="1" applyAlignment="1">
      <alignment horizontal="center" vertical="center"/>
    </xf>
    <xf numFmtId="9" fontId="0" fillId="21" borderId="8" xfId="1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7" fillId="0" borderId="38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 wrapText="1"/>
    </xf>
    <xf numFmtId="2" fontId="0" fillId="0" borderId="14" xfId="0" applyNumberFormat="1" applyBorder="1" applyAlignment="1">
      <alignment horizontal="center"/>
    </xf>
    <xf numFmtId="1" fontId="6" fillId="0" borderId="38" xfId="0" applyNumberFormat="1" applyFont="1" applyBorder="1" applyAlignment="1">
      <alignment horizontal="center"/>
    </xf>
    <xf numFmtId="2" fontId="0" fillId="0" borderId="1" xfId="0" applyNumberFormat="1" applyBorder="1"/>
    <xf numFmtId="0" fontId="6" fillId="0" borderId="0" xfId="0" applyFont="1" applyAlignment="1">
      <alignment horizontal="center"/>
    </xf>
    <xf numFmtId="9" fontId="0" fillId="0" borderId="0" xfId="0" applyNumberFormat="1"/>
    <xf numFmtId="0" fontId="6" fillId="0" borderId="0" xfId="0" applyFont="1" applyAlignment="1">
      <alignment horizontal="center" wrapText="1"/>
    </xf>
    <xf numFmtId="0" fontId="6" fillId="0" borderId="0" xfId="0" applyFont="1" applyAlignment="1">
      <alignment horizontal="center" vertical="center"/>
    </xf>
    <xf numFmtId="9" fontId="6" fillId="0" borderId="0" xfId="1" applyFont="1" applyAlignment="1">
      <alignment horizontal="center" wrapText="1"/>
    </xf>
    <xf numFmtId="0" fontId="17" fillId="0" borderId="0" xfId="0" applyFont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vertical="center"/>
    </xf>
    <xf numFmtId="0" fontId="1" fillId="15" borderId="46" xfId="0" applyFont="1" applyFill="1" applyBorder="1" applyAlignment="1">
      <alignment horizontal="center" vertical="center"/>
    </xf>
    <xf numFmtId="0" fontId="1" fillId="19" borderId="14" xfId="0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0" fillId="10" borderId="0" xfId="0" applyFont="1" applyFill="1"/>
    <xf numFmtId="0" fontId="20" fillId="7" borderId="4" xfId="0" applyFont="1" applyFill="1" applyBorder="1" applyAlignment="1">
      <alignment horizontal="center" vertical="center" wrapText="1"/>
    </xf>
    <xf numFmtId="0" fontId="4" fillId="0" borderId="51" xfId="0" applyFont="1" applyBorder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1" fillId="18" borderId="1" xfId="0" applyFont="1" applyFill="1" applyBorder="1" applyAlignment="1">
      <alignment wrapText="1"/>
    </xf>
    <xf numFmtId="0" fontId="1" fillId="21" borderId="1" xfId="0" applyFont="1" applyFill="1" applyBorder="1" applyAlignment="1">
      <alignment wrapText="1"/>
    </xf>
    <xf numFmtId="0" fontId="3" fillId="21" borderId="1" xfId="0" applyFont="1" applyFill="1" applyBorder="1" applyAlignment="1">
      <alignment wrapText="1"/>
    </xf>
    <xf numFmtId="0" fontId="3" fillId="21" borderId="7" xfId="0" applyFont="1" applyFill="1" applyBorder="1" applyAlignment="1">
      <alignment wrapText="1"/>
    </xf>
    <xf numFmtId="0" fontId="3" fillId="18" borderId="7" xfId="0" applyFont="1" applyFill="1" applyBorder="1" applyAlignment="1">
      <alignment wrapText="1"/>
    </xf>
    <xf numFmtId="0" fontId="20" fillId="21" borderId="4" xfId="0" applyFont="1" applyFill="1" applyBorder="1" applyAlignment="1">
      <alignment horizontal="center" vertical="center" wrapText="1"/>
    </xf>
    <xf numFmtId="0" fontId="20" fillId="21" borderId="46" xfId="0" applyFont="1" applyFill="1" applyBorder="1" applyAlignment="1">
      <alignment horizontal="center" vertical="center" wrapText="1"/>
    </xf>
    <xf numFmtId="0" fontId="20" fillId="21" borderId="14" xfId="0" applyFont="1" applyFill="1" applyBorder="1" applyAlignment="1">
      <alignment horizontal="center" vertical="center" wrapText="1"/>
    </xf>
    <xf numFmtId="0" fontId="20" fillId="18" borderId="4" xfId="0" applyFont="1" applyFill="1" applyBorder="1" applyAlignment="1">
      <alignment horizontal="center" vertical="center" wrapText="1"/>
    </xf>
    <xf numFmtId="0" fontId="18" fillId="2" borderId="19" xfId="0" applyFont="1" applyFill="1" applyBorder="1" applyAlignment="1">
      <alignment horizontal="center" vertical="center"/>
    </xf>
    <xf numFmtId="0" fontId="20" fillId="2" borderId="11" xfId="0" applyFont="1" applyFill="1" applyBorder="1" applyAlignment="1">
      <alignment horizontal="center" vertical="center" wrapText="1"/>
    </xf>
    <xf numFmtId="0" fontId="20" fillId="2" borderId="2" xfId="0" applyFont="1" applyFill="1" applyBorder="1" applyAlignment="1">
      <alignment horizontal="center" vertical="center" wrapText="1"/>
    </xf>
    <xf numFmtId="0" fontId="20" fillId="21" borderId="53" xfId="0" applyFont="1" applyFill="1" applyBorder="1" applyAlignment="1">
      <alignment horizontal="center" vertical="center" wrapText="1"/>
    </xf>
    <xf numFmtId="0" fontId="20" fillId="21" borderId="72" xfId="0" applyFont="1" applyFill="1" applyBorder="1" applyAlignment="1">
      <alignment horizontal="center" vertical="center" wrapText="1"/>
    </xf>
    <xf numFmtId="0" fontId="20" fillId="2" borderId="72" xfId="0" applyFont="1" applyFill="1" applyBorder="1" applyAlignment="1">
      <alignment horizontal="center" vertical="center" wrapText="1"/>
    </xf>
    <xf numFmtId="9" fontId="20" fillId="2" borderId="19" xfId="1" applyFont="1" applyFill="1" applyBorder="1" applyAlignment="1">
      <alignment horizontal="center" vertical="center" wrapText="1"/>
    </xf>
    <xf numFmtId="0" fontId="18" fillId="2" borderId="23" xfId="0" applyFont="1" applyFill="1" applyBorder="1" applyAlignment="1">
      <alignment horizontal="center" vertical="center"/>
    </xf>
    <xf numFmtId="164" fontId="18" fillId="2" borderId="2" xfId="0" applyNumberFormat="1" applyFont="1" applyFill="1" applyBorder="1" applyAlignment="1">
      <alignment horizontal="center" vertical="center"/>
    </xf>
    <xf numFmtId="0" fontId="20" fillId="7" borderId="1" xfId="0" applyFont="1" applyFill="1" applyBorder="1" applyAlignment="1">
      <alignment horizontal="center" vertical="center" wrapText="1"/>
    </xf>
    <xf numFmtId="0" fontId="4" fillId="23" borderId="0" xfId="0" applyFont="1" applyFill="1" applyAlignment="1">
      <alignment horizontal="center" vertical="center"/>
    </xf>
    <xf numFmtId="0" fontId="6" fillId="0" borderId="16" xfId="0" applyFont="1" applyBorder="1" applyAlignment="1">
      <alignment horizontal="center" vertical="center"/>
    </xf>
    <xf numFmtId="1" fontId="0" fillId="23" borderId="21" xfId="0" applyNumberFormat="1" applyFill="1" applyBorder="1" applyAlignment="1">
      <alignment horizontal="center" vertical="center"/>
    </xf>
    <xf numFmtId="0" fontId="6" fillId="0" borderId="47" xfId="0" applyFont="1" applyBorder="1" applyAlignment="1">
      <alignment horizontal="center" vertical="center"/>
    </xf>
    <xf numFmtId="0" fontId="6" fillId="0" borderId="17" xfId="0" applyFont="1" applyBorder="1" applyAlignment="1">
      <alignment horizontal="center" vertical="center"/>
    </xf>
    <xf numFmtId="0" fontId="6" fillId="0" borderId="19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42" xfId="0" applyFont="1" applyBorder="1" applyAlignment="1">
      <alignment horizontal="center" vertical="center"/>
    </xf>
    <xf numFmtId="0" fontId="0" fillId="0" borderId="24" xfId="0" applyBorder="1"/>
    <xf numFmtId="0" fontId="0" fillId="0" borderId="74" xfId="0" applyBorder="1"/>
    <xf numFmtId="0" fontId="6" fillId="0" borderId="18" xfId="0" applyFont="1" applyBorder="1" applyAlignment="1">
      <alignment horizontal="center" vertical="center"/>
    </xf>
    <xf numFmtId="0" fontId="6" fillId="0" borderId="75" xfId="0" applyFont="1" applyBorder="1" applyAlignment="1">
      <alignment horizontal="center" vertical="center"/>
    </xf>
    <xf numFmtId="1" fontId="0" fillId="0" borderId="0" xfId="0" applyNumberFormat="1" applyAlignment="1">
      <alignment horizontal="center" vertical="center"/>
    </xf>
    <xf numFmtId="165" fontId="0" fillId="23" borderId="21" xfId="0" applyNumberFormat="1" applyFill="1" applyBorder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165" fontId="0" fillId="0" borderId="16" xfId="0" applyNumberFormat="1" applyBorder="1" applyAlignment="1">
      <alignment horizontal="center" vertical="center"/>
    </xf>
    <xf numFmtId="9" fontId="0" fillId="0" borderId="17" xfId="0" applyNumberFormat="1" applyBorder="1" applyAlignment="1">
      <alignment horizontal="center" vertical="center" wrapText="1"/>
    </xf>
    <xf numFmtId="9" fontId="0" fillId="0" borderId="17" xfId="1" applyFont="1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9" fontId="0" fillId="0" borderId="18" xfId="1" applyFont="1" applyBorder="1" applyAlignment="1">
      <alignment horizontal="center" vertical="center"/>
    </xf>
    <xf numFmtId="9" fontId="0" fillId="0" borderId="16" xfId="0" applyNumberFormat="1" applyBorder="1" applyAlignment="1">
      <alignment horizontal="center" vertical="center"/>
    </xf>
    <xf numFmtId="0" fontId="4" fillId="0" borderId="34" xfId="0" applyFont="1" applyBorder="1" applyAlignment="1">
      <alignment horizontal="center" vertical="center"/>
    </xf>
    <xf numFmtId="0" fontId="4" fillId="0" borderId="74" xfId="0" applyFont="1" applyBorder="1" applyAlignment="1">
      <alignment horizontal="center" vertical="center"/>
    </xf>
    <xf numFmtId="0" fontId="4" fillId="0" borderId="69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47" xfId="0" applyFont="1" applyBorder="1" applyAlignment="1">
      <alignment horizontal="center" vertical="center"/>
    </xf>
    <xf numFmtId="0" fontId="6" fillId="0" borderId="48" xfId="0" applyFont="1" applyBorder="1" applyAlignment="1">
      <alignment horizontal="center" vertical="center"/>
    </xf>
    <xf numFmtId="0" fontId="4" fillId="23" borderId="50" xfId="0" applyFont="1" applyFill="1" applyBorder="1" applyAlignment="1">
      <alignment horizontal="center"/>
    </xf>
    <xf numFmtId="0" fontId="6" fillId="0" borderId="29" xfId="0" applyFont="1" applyBorder="1" applyAlignment="1">
      <alignment horizontal="center" vertical="center"/>
    </xf>
    <xf numFmtId="0" fontId="6" fillId="0" borderId="60" xfId="0" applyFont="1" applyBorder="1" applyAlignment="1">
      <alignment horizontal="center" vertical="center"/>
    </xf>
    <xf numFmtId="0" fontId="6" fillId="0" borderId="9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4" fillId="23" borderId="0" xfId="0" applyFont="1" applyFill="1" applyAlignment="1">
      <alignment horizontal="center"/>
    </xf>
    <xf numFmtId="0" fontId="6" fillId="0" borderId="3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21" fillId="24" borderId="44" xfId="0" applyFont="1" applyFill="1" applyBorder="1" applyAlignment="1">
      <alignment horizontal="center" vertical="center" wrapText="1"/>
    </xf>
    <xf numFmtId="0" fontId="6" fillId="0" borderId="14" xfId="0" applyFont="1" applyBorder="1" applyAlignment="1">
      <alignment horizontal="center" vertical="center"/>
    </xf>
    <xf numFmtId="0" fontId="1" fillId="24" borderId="44" xfId="0" applyFont="1" applyFill="1" applyBorder="1" applyAlignment="1">
      <alignment horizontal="center" vertical="center" wrapText="1"/>
    </xf>
    <xf numFmtId="0" fontId="0" fillId="0" borderId="75" xfId="0" applyBorder="1" applyAlignment="1">
      <alignment horizontal="center" vertical="center"/>
    </xf>
    <xf numFmtId="0" fontId="0" fillId="0" borderId="74" xfId="0" applyBorder="1" applyAlignment="1">
      <alignment horizontal="center" vertical="center"/>
    </xf>
    <xf numFmtId="0" fontId="0" fillId="0" borderId="68" xfId="0" applyBorder="1" applyAlignment="1">
      <alignment horizontal="center" vertical="center"/>
    </xf>
    <xf numFmtId="0" fontId="0" fillId="0" borderId="69" xfId="0" applyBorder="1" applyAlignment="1">
      <alignment horizontal="center" vertical="center"/>
    </xf>
    <xf numFmtId="0" fontId="22" fillId="0" borderId="43" xfId="0" applyFont="1" applyBorder="1" applyAlignment="1">
      <alignment horizontal="center" vertical="center" wrapText="1"/>
    </xf>
    <xf numFmtId="0" fontId="22" fillId="0" borderId="65" xfId="0" applyFont="1" applyBorder="1" applyAlignment="1">
      <alignment horizontal="center" vertical="center" wrapText="1"/>
    </xf>
    <xf numFmtId="0" fontId="22" fillId="0" borderId="45" xfId="0" applyFont="1" applyBorder="1" applyAlignment="1">
      <alignment horizontal="center" vertical="center" wrapText="1"/>
    </xf>
    <xf numFmtId="0" fontId="22" fillId="0" borderId="69" xfId="0" applyFont="1" applyBorder="1" applyAlignment="1">
      <alignment horizontal="center" vertical="center" wrapText="1"/>
    </xf>
    <xf numFmtId="0" fontId="6" fillId="0" borderId="35" xfId="0" applyFont="1" applyBorder="1" applyAlignment="1">
      <alignment horizontal="center" vertical="center"/>
    </xf>
    <xf numFmtId="0" fontId="6" fillId="0" borderId="65" xfId="0" applyFont="1" applyBorder="1" applyAlignment="1">
      <alignment horizontal="center" vertical="center"/>
    </xf>
    <xf numFmtId="0" fontId="6" fillId="0" borderId="50" xfId="0" applyFont="1" applyBorder="1" applyAlignment="1">
      <alignment horizontal="center" vertical="center"/>
    </xf>
    <xf numFmtId="0" fontId="6" fillId="0" borderId="69" xfId="0" applyFont="1" applyBorder="1" applyAlignment="1">
      <alignment horizontal="center" vertical="center"/>
    </xf>
    <xf numFmtId="0" fontId="4" fillId="0" borderId="59" xfId="0" applyFont="1" applyBorder="1" applyAlignment="1">
      <alignment horizontal="center" vertical="center"/>
    </xf>
    <xf numFmtId="0" fontId="4" fillId="0" borderId="58" xfId="0" applyFont="1" applyBorder="1" applyAlignment="1">
      <alignment horizontal="center" vertical="center"/>
    </xf>
    <xf numFmtId="0" fontId="4" fillId="0" borderId="51" xfId="0" applyFont="1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50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65" xfId="0" applyBorder="1" applyAlignment="1">
      <alignment horizontal="center" vertical="center"/>
    </xf>
    <xf numFmtId="0" fontId="6" fillId="0" borderId="35" xfId="0" applyFont="1" applyBorder="1" applyAlignment="1">
      <alignment horizontal="center" vertical="center" wrapText="1"/>
    </xf>
    <xf numFmtId="0" fontId="6" fillId="0" borderId="65" xfId="0" applyFont="1" applyBorder="1" applyAlignment="1">
      <alignment horizontal="center" vertical="center" wrapText="1"/>
    </xf>
    <xf numFmtId="0" fontId="6" fillId="0" borderId="50" xfId="0" applyFont="1" applyBorder="1" applyAlignment="1">
      <alignment horizontal="center" vertical="center" wrapText="1"/>
    </xf>
    <xf numFmtId="0" fontId="6" fillId="0" borderId="69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5" borderId="3" xfId="0" applyFont="1" applyFill="1" applyBorder="1" applyAlignment="1">
      <alignment horizontal="center" vertical="center" wrapText="1"/>
    </xf>
    <xf numFmtId="0" fontId="1" fillId="5" borderId="9" xfId="0" applyFont="1" applyFill="1" applyBorder="1" applyAlignment="1">
      <alignment horizontal="center" vertical="center" wrapText="1"/>
    </xf>
    <xf numFmtId="0" fontId="1" fillId="5" borderId="6" xfId="0" applyFont="1" applyFill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wrapText="1"/>
    </xf>
    <xf numFmtId="0" fontId="1" fillId="3" borderId="9" xfId="0" applyFont="1" applyFill="1" applyBorder="1" applyAlignment="1">
      <alignment horizontal="center" vertical="center" wrapText="1"/>
    </xf>
    <xf numFmtId="0" fontId="1" fillId="3" borderId="6" xfId="0" applyFont="1" applyFill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1" fillId="4" borderId="9" xfId="0" applyFont="1" applyFill="1" applyBorder="1" applyAlignment="1">
      <alignment horizontal="center" vertical="center" wrapText="1"/>
    </xf>
    <xf numFmtId="0" fontId="1" fillId="4" borderId="6" xfId="0" applyFont="1" applyFill="1" applyBorder="1" applyAlignment="1">
      <alignment horizontal="center" vertical="center" wrapText="1"/>
    </xf>
    <xf numFmtId="0" fontId="1" fillId="20" borderId="3" xfId="0" applyFont="1" applyFill="1" applyBorder="1" applyAlignment="1">
      <alignment horizontal="center" vertical="center" wrapText="1"/>
    </xf>
    <xf numFmtId="0" fontId="1" fillId="20" borderId="9" xfId="0" applyFont="1" applyFill="1" applyBorder="1" applyAlignment="1">
      <alignment horizontal="center" vertical="center" wrapText="1"/>
    </xf>
    <xf numFmtId="0" fontId="1" fillId="20" borderId="6" xfId="0" applyFont="1" applyFill="1" applyBorder="1" applyAlignment="1">
      <alignment horizontal="center" vertical="center" wrapText="1"/>
    </xf>
    <xf numFmtId="9" fontId="1" fillId="0" borderId="1" xfId="1" applyFont="1" applyBorder="1" applyAlignment="1">
      <alignment horizontal="center" vertical="center" wrapText="1"/>
    </xf>
    <xf numFmtId="9" fontId="1" fillId="0" borderId="7" xfId="1" applyFont="1" applyBorder="1" applyAlignment="1">
      <alignment horizontal="center" vertical="center" wrapText="1"/>
    </xf>
    <xf numFmtId="0" fontId="5" fillId="0" borderId="43" xfId="0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0" fontId="5" fillId="0" borderId="65" xfId="0" applyFont="1" applyBorder="1" applyAlignment="1">
      <alignment horizontal="center" vertical="center" wrapText="1"/>
    </xf>
    <xf numFmtId="0" fontId="5" fillId="0" borderId="45" xfId="0" applyFont="1" applyBorder="1" applyAlignment="1">
      <alignment horizontal="center" vertical="center" wrapText="1"/>
    </xf>
    <xf numFmtId="0" fontId="5" fillId="0" borderId="50" xfId="0" applyFont="1" applyBorder="1" applyAlignment="1">
      <alignment horizontal="center" vertical="center" wrapText="1"/>
    </xf>
    <xf numFmtId="0" fontId="5" fillId="0" borderId="69" xfId="0" applyFont="1" applyBorder="1" applyAlignment="1">
      <alignment horizontal="center" vertical="center" wrapText="1"/>
    </xf>
    <xf numFmtId="9" fontId="1" fillId="0" borderId="2" xfId="1" applyFont="1" applyBorder="1" applyAlignment="1">
      <alignment horizontal="center" vertical="center" wrapText="1"/>
    </xf>
    <xf numFmtId="9" fontId="1" fillId="0" borderId="70" xfId="1" applyFont="1" applyBorder="1" applyAlignment="1">
      <alignment horizontal="center" vertical="center" wrapText="1"/>
    </xf>
    <xf numFmtId="9" fontId="1" fillId="0" borderId="71" xfId="1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6" fillId="0" borderId="0" xfId="0" applyFont="1" applyAlignment="1">
      <alignment horizontal="center"/>
    </xf>
    <xf numFmtId="0" fontId="6" fillId="0" borderId="0" xfId="0" applyFont="1" applyAlignment="1">
      <alignment horizontal="center" wrapText="1"/>
    </xf>
    <xf numFmtId="0" fontId="9" fillId="0" borderId="1" xfId="0" applyFont="1" applyBorder="1" applyAlignment="1">
      <alignment horizontal="center" vertical="center"/>
    </xf>
    <xf numFmtId="0" fontId="19" fillId="3" borderId="35" xfId="0" applyFont="1" applyFill="1" applyBorder="1" applyAlignment="1">
      <alignment horizontal="center" vertical="center" wrapText="1"/>
    </xf>
    <xf numFmtId="0" fontId="19" fillId="3" borderId="0" xfId="0" applyFont="1" applyFill="1" applyAlignment="1">
      <alignment horizontal="center" vertical="center" wrapText="1"/>
    </xf>
    <xf numFmtId="0" fontId="19" fillId="11" borderId="43" xfId="0" applyFont="1" applyFill="1" applyBorder="1" applyAlignment="1">
      <alignment horizontal="center" vertical="center" wrapText="1"/>
    </xf>
    <xf numFmtId="0" fontId="19" fillId="11" borderId="44" xfId="0" applyFont="1" applyFill="1" applyBorder="1" applyAlignment="1">
      <alignment horizontal="center" vertical="center" wrapText="1"/>
    </xf>
    <xf numFmtId="0" fontId="19" fillId="11" borderId="45" xfId="0" applyFont="1" applyFill="1" applyBorder="1" applyAlignment="1">
      <alignment horizontal="center" vertical="center" wrapText="1"/>
    </xf>
    <xf numFmtId="0" fontId="19" fillId="6" borderId="29" xfId="0" applyFont="1" applyFill="1" applyBorder="1" applyAlignment="1">
      <alignment horizontal="center" vertical="center" wrapText="1"/>
    </xf>
    <xf numFmtId="0" fontId="19" fillId="6" borderId="47" xfId="0" applyFont="1" applyFill="1" applyBorder="1" applyAlignment="1">
      <alignment horizontal="center" vertical="center" wrapText="1"/>
    </xf>
    <xf numFmtId="0" fontId="19" fillId="6" borderId="48" xfId="0" applyFont="1" applyFill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49" xfId="0" applyFont="1" applyBorder="1" applyAlignment="1">
      <alignment horizontal="center" vertical="center" wrapText="1"/>
    </xf>
    <xf numFmtId="0" fontId="19" fillId="22" borderId="35" xfId="0" applyFont="1" applyFill="1" applyBorder="1" applyAlignment="1">
      <alignment horizontal="center" vertical="center" wrapText="1"/>
    </xf>
    <xf numFmtId="0" fontId="19" fillId="22" borderId="0" xfId="0" applyFont="1" applyFill="1" applyAlignment="1">
      <alignment horizontal="center" vertical="center" wrapText="1"/>
    </xf>
    <xf numFmtId="0" fontId="6" fillId="0" borderId="39" xfId="0" applyFont="1" applyBorder="1" applyAlignment="1">
      <alignment horizontal="center" vertical="center"/>
    </xf>
    <xf numFmtId="0" fontId="6" fillId="0" borderId="40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63" xfId="0" applyFont="1" applyBorder="1" applyAlignment="1">
      <alignment horizontal="center" vertical="center" wrapText="1"/>
    </xf>
    <xf numFmtId="0" fontId="6" fillId="0" borderId="61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4" fillId="0" borderId="1" xfId="1" applyNumberFormat="1" applyFont="1" applyBorder="1" applyAlignment="1">
      <alignment horizontal="center" vertical="center"/>
    </xf>
    <xf numFmtId="0" fontId="4" fillId="0" borderId="10" xfId="1" applyNumberFormat="1" applyFont="1" applyBorder="1" applyAlignment="1">
      <alignment horizontal="center" vertical="center"/>
    </xf>
    <xf numFmtId="9" fontId="4" fillId="0" borderId="1" xfId="1" applyFont="1" applyBorder="1" applyAlignment="1">
      <alignment horizontal="center" vertical="center"/>
    </xf>
    <xf numFmtId="9" fontId="4" fillId="0" borderId="10" xfId="1" applyFont="1" applyBorder="1" applyAlignment="1">
      <alignment horizontal="center" vertical="center"/>
    </xf>
    <xf numFmtId="0" fontId="13" fillId="16" borderId="25" xfId="0" applyFont="1" applyFill="1" applyBorder="1" applyAlignment="1">
      <alignment horizontal="center" vertical="center"/>
    </xf>
    <xf numFmtId="0" fontId="13" fillId="16" borderId="0" xfId="0" applyFont="1" applyFill="1" applyAlignment="1">
      <alignment horizontal="center" vertical="center"/>
    </xf>
    <xf numFmtId="0" fontId="6" fillId="15" borderId="50" xfId="0" applyFont="1" applyFill="1" applyBorder="1" applyAlignment="1">
      <alignment horizontal="center"/>
    </xf>
    <xf numFmtId="0" fontId="6" fillId="15" borderId="66" xfId="0" applyFont="1" applyFill="1" applyBorder="1" applyAlignment="1">
      <alignment horizontal="center"/>
    </xf>
    <xf numFmtId="0" fontId="13" fillId="15" borderId="2" xfId="0" applyFont="1" applyFill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62" xfId="0" applyFont="1" applyBorder="1" applyAlignment="1">
      <alignment horizontal="center" vertical="center" wrapText="1"/>
    </xf>
    <xf numFmtId="0" fontId="6" fillId="0" borderId="37" xfId="0" applyFont="1" applyBorder="1" applyAlignment="1">
      <alignment horizontal="center" vertical="center"/>
    </xf>
    <xf numFmtId="0" fontId="0" fillId="2" borderId="54" xfId="0" applyFill="1" applyBorder="1" applyAlignment="1">
      <alignment horizontal="center" vertical="center"/>
    </xf>
    <xf numFmtId="0" fontId="0" fillId="2" borderId="49" xfId="0" applyFill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6" fillId="0" borderId="23" xfId="0" applyFont="1" applyBorder="1" applyAlignment="1">
      <alignment horizontal="center" vertical="center"/>
    </xf>
    <xf numFmtId="0" fontId="6" fillId="0" borderId="43" xfId="0" applyFont="1" applyBorder="1" applyAlignment="1">
      <alignment horizontal="center" vertical="center"/>
    </xf>
    <xf numFmtId="0" fontId="16" fillId="14" borderId="29" xfId="0" applyFont="1" applyFill="1" applyBorder="1" applyAlignment="1">
      <alignment horizontal="center" vertical="center"/>
    </xf>
    <xf numFmtId="0" fontId="16" fillId="14" borderId="30" xfId="0" applyFont="1" applyFill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20" xfId="0" applyFont="1" applyBorder="1" applyAlignment="1">
      <alignment horizontal="center" vertical="center"/>
    </xf>
    <xf numFmtId="0" fontId="4" fillId="0" borderId="43" xfId="0" applyFont="1" applyBorder="1" applyAlignment="1">
      <alignment horizontal="center"/>
    </xf>
    <xf numFmtId="0" fontId="4" fillId="0" borderId="35" xfId="0" applyFont="1" applyBorder="1" applyAlignment="1">
      <alignment horizontal="center"/>
    </xf>
    <xf numFmtId="0" fontId="4" fillId="0" borderId="65" xfId="0" applyFont="1" applyBorder="1" applyAlignment="1">
      <alignment horizontal="center"/>
    </xf>
    <xf numFmtId="0" fontId="6" fillId="0" borderId="1" xfId="0" applyFont="1" applyBorder="1" applyAlignment="1">
      <alignment horizontal="center" vertical="center"/>
    </xf>
    <xf numFmtId="0" fontId="6" fillId="14" borderId="3" xfId="0" applyFont="1" applyFill="1" applyBorder="1" applyAlignment="1">
      <alignment horizontal="center" vertical="center"/>
    </xf>
    <xf numFmtId="0" fontId="6" fillId="14" borderId="9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center" wrapText="1"/>
    </xf>
    <xf numFmtId="0" fontId="6" fillId="0" borderId="4" xfId="0" applyFont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9" fillId="0" borderId="1" xfId="0" applyFont="1" applyBorder="1" applyAlignment="1">
      <alignment horizontal="center" vertical="center" wrapText="1"/>
    </xf>
    <xf numFmtId="0" fontId="9" fillId="0" borderId="14" xfId="0" applyFont="1" applyBorder="1" applyAlignment="1">
      <alignment horizontal="center" vertical="center" wrapText="1"/>
    </xf>
    <xf numFmtId="0" fontId="0" fillId="0" borderId="0" xfId="0" applyBorder="1"/>
    <xf numFmtId="0" fontId="0" fillId="8" borderId="0" xfId="0" applyFill="1" applyBorder="1"/>
  </cellXfs>
  <cellStyles count="2">
    <cellStyle name="Normal" xfId="0" builtinId="0"/>
    <cellStyle name="Pourcentage" xfId="1" builtinId="5"/>
  </cellStyles>
  <dxfs count="0"/>
  <tableStyles count="0" defaultTableStyle="TableStyleMedium2" defaultPivotStyle="PivotStyleLight16"/>
  <colors>
    <mruColors>
      <color rgb="FF00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theme" Target="theme/theme1.xml"/><Relationship Id="rId37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Que</a:t>
            </a:r>
            <a:r>
              <a:rPr lang="fr-FR" baseline="0"/>
              <a:t> font les adversaires ?</a:t>
            </a:r>
          </a:p>
          <a:p>
            <a:pPr>
              <a:defRPr/>
            </a:pP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56DC-4A33-913F-40F7095F02E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56DC-4A33-913F-40F7095F02E4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'Stats générales'!$Z$7:$Z$8</c:f>
              <c:strCache>
                <c:ptCount val="2"/>
                <c:pt idx="0">
                  <c:v>Ballons joués sur GE</c:v>
                </c:pt>
                <c:pt idx="1">
                  <c:v>Nbre de possessions en attaque placée</c:v>
                </c:pt>
              </c:strCache>
            </c:strRef>
          </c:cat>
          <c:val>
            <c:numRef>
              <c:f>'Stats générales'!$AA$7:$AA$8</c:f>
              <c:numCache>
                <c:formatCode>General</c:formatCode>
                <c:ptCount val="2"/>
                <c:pt idx="0">
                  <c:v>22.285714285714285</c:v>
                </c:pt>
                <c:pt idx="1">
                  <c:v>37.285714285714285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8C5-474A-94EF-1ABDB4E6D67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ou on concède les tirs 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  <c:invertIfNegative val="0"/>
          <c:cat>
            <c:strRef>
              <c:f>'Analyse GB'!$AG$80:$AG$97</c:f>
              <c:strCache>
                <c:ptCount val="18"/>
                <c:pt idx="0">
                  <c:v>ALG</c:v>
                </c:pt>
                <c:pt idx="1">
                  <c:v>1 2</c:v>
                </c:pt>
                <c:pt idx="2">
                  <c:v>2 3</c:v>
                </c:pt>
                <c:pt idx="3">
                  <c:v>3 4</c:v>
                </c:pt>
                <c:pt idx="4">
                  <c:v>4 5</c:v>
                </c:pt>
                <c:pt idx="5">
                  <c:v>5 6</c:v>
                </c:pt>
                <c:pt idx="6">
                  <c:v>ALD</c:v>
                </c:pt>
                <c:pt idx="7">
                  <c:v>Central 7m 9m appui</c:v>
                </c:pt>
                <c:pt idx="8">
                  <c:v>7m 9m Ext G appui</c:v>
                </c:pt>
                <c:pt idx="9">
                  <c:v>7m 9m Ext D appui</c:v>
                </c:pt>
                <c:pt idx="10">
                  <c:v>7m 9m central suspension</c:v>
                </c:pt>
                <c:pt idx="11">
                  <c:v>7m 9m Ext G suspension</c:v>
                </c:pt>
                <c:pt idx="12">
                  <c:v>7m 9m Ext D suspension</c:v>
                </c:pt>
                <c:pt idx="13">
                  <c:v>9m G</c:v>
                </c:pt>
                <c:pt idx="14">
                  <c:v>9m +</c:v>
                </c:pt>
                <c:pt idx="15">
                  <c:v>9m D</c:v>
                </c:pt>
                <c:pt idx="16">
                  <c:v>But vide</c:v>
                </c:pt>
                <c:pt idx="17">
                  <c:v>CA MB</c:v>
                </c:pt>
              </c:strCache>
            </c:strRef>
          </c:cat>
          <c:val>
            <c:numRef>
              <c:f>'Analyse GB'!$AH$80:$AH$97</c:f>
              <c:numCache>
                <c:formatCode>0%</c:formatCode>
                <c:ptCount val="18"/>
                <c:pt idx="0">
                  <c:v>8.1081081081081086E-2</c:v>
                </c:pt>
                <c:pt idx="1">
                  <c:v>7.567567567567568E-2</c:v>
                </c:pt>
                <c:pt idx="2">
                  <c:v>3.2432432432432434E-2</c:v>
                </c:pt>
                <c:pt idx="3">
                  <c:v>3.783783783783784E-2</c:v>
                </c:pt>
                <c:pt idx="4">
                  <c:v>4.8648648648648651E-2</c:v>
                </c:pt>
                <c:pt idx="5">
                  <c:v>5.4054054054054057E-2</c:v>
                </c:pt>
                <c:pt idx="6">
                  <c:v>9.7297297297297303E-2</c:v>
                </c:pt>
                <c:pt idx="7">
                  <c:v>2.1621621621621623E-2</c:v>
                </c:pt>
                <c:pt idx="8">
                  <c:v>2.1621621621621623E-2</c:v>
                </c:pt>
                <c:pt idx="9">
                  <c:v>3.2432432432432434E-2</c:v>
                </c:pt>
                <c:pt idx="10">
                  <c:v>7.567567567567568E-2</c:v>
                </c:pt>
                <c:pt idx="11">
                  <c:v>3.783783783783784E-2</c:v>
                </c:pt>
                <c:pt idx="12">
                  <c:v>2.7027027027027029E-2</c:v>
                </c:pt>
                <c:pt idx="13">
                  <c:v>3.2432432432432434E-2</c:v>
                </c:pt>
                <c:pt idx="14">
                  <c:v>0.21081081081081082</c:v>
                </c:pt>
                <c:pt idx="15">
                  <c:v>3.2432432432432434E-2</c:v>
                </c:pt>
                <c:pt idx="16">
                  <c:v>1.6216216216216217E-2</c:v>
                </c:pt>
                <c:pt idx="17">
                  <c:v>9.1891891891891897E-2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35C-42C7-B6B1-9683E73D86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20975231"/>
        <c:axId val="120976191"/>
      </c:barChart>
      <c:catAx>
        <c:axId val="1209752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20976191"/>
        <c:crosses val="autoZero"/>
        <c:auto val="1"/>
        <c:lblAlgn val="ctr"/>
        <c:lblOffset val="100"/>
        <c:noMultiLvlLbl val="0"/>
      </c:catAx>
      <c:valAx>
        <c:axId val="1209761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209752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800"/>
              <a:t>UTILISATION DU BALLON </a:t>
            </a:r>
          </a:p>
          <a:p>
            <a:pPr>
              <a:defRPr/>
            </a:pPr>
            <a:r>
              <a:rPr lang="en-US" sz="800"/>
              <a:t>SAMBRE</a:t>
            </a:r>
          </a:p>
        </c:rich>
      </c:tx>
      <c:layout>
        <c:manualLayout>
          <c:xMode val="edge"/>
          <c:yMode val="edge"/>
          <c:x val="0.60973585965883448"/>
          <c:y val="4.494382022471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6.1503501102511002E-2"/>
          <c:y val="2.9359167182753849E-2"/>
          <c:w val="0.68767563429571299"/>
          <c:h val="0.75474518810148727"/>
        </c:manualLayout>
      </c:layout>
      <c:pie3DChart>
        <c:varyColors val="1"/>
        <c:ser>
          <c:idx val="0"/>
          <c:order val="0"/>
          <c:tx>
            <c:strRef>
              <c:f>'Image Stats générales'!$B$2</c:f>
              <c:strCache>
                <c:ptCount val="1"/>
                <c:pt idx="0">
                  <c:v>SAMBRE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D635-41F4-B288-ABB9635A7FA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D635-41F4-B288-ABB9635A7FA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'Image Stats générales'!$A$8:$A$9</c:f>
              <c:strCache>
                <c:ptCount val="2"/>
                <c:pt idx="0">
                  <c:v>Possessions en AP</c:v>
                </c:pt>
                <c:pt idx="1">
                  <c:v>Possessions sur GE</c:v>
                </c:pt>
              </c:strCache>
            </c:strRef>
          </c:cat>
          <c:val>
            <c:numRef>
              <c:f>'Image Stats générales'!$B$3:$B$4</c:f>
              <c:numCache>
                <c:formatCode>General</c:formatCode>
                <c:ptCount val="2"/>
                <c:pt idx="0">
                  <c:v>146</c:v>
                </c:pt>
                <c:pt idx="1">
                  <c:v>110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B2-4D0C-8E3D-AC40EB0006E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800"/>
              <a:t>UTILISATION</a:t>
            </a:r>
            <a:r>
              <a:rPr lang="en-US" sz="800" baseline="0"/>
              <a:t> DU BALLON DE L'ADVERSAIRE</a:t>
            </a:r>
          </a:p>
          <a:p>
            <a:pPr>
              <a:defRPr/>
            </a:pPr>
            <a:endParaRPr lang="en-US"/>
          </a:p>
        </c:rich>
      </c:tx>
      <c:layout>
        <c:manualLayout>
          <c:xMode val="edge"/>
          <c:yMode val="edge"/>
          <c:x val="0.22945474892681642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6.111096172011464E-2"/>
          <c:y val="6.581987470544283E-2"/>
          <c:w val="0.93888888888888888"/>
          <c:h val="0.6714577865266842"/>
        </c:manualLayout>
      </c:layout>
      <c:pie3DChart>
        <c:varyColors val="1"/>
        <c:ser>
          <c:idx val="0"/>
          <c:order val="0"/>
          <c:tx>
            <c:strRef>
              <c:f>'Image Stats générales'!$B$7</c:f>
              <c:strCache>
                <c:ptCount val="1"/>
                <c:pt idx="0">
                  <c:v>ADV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56EA-4C8E-ABB0-049806D4E91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56EA-4C8E-ABB0-049806D4E91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'Image Stats générales'!$A$8:$A$9</c:f>
              <c:strCache>
                <c:ptCount val="2"/>
                <c:pt idx="0">
                  <c:v>Possessions en AP</c:v>
                </c:pt>
                <c:pt idx="1">
                  <c:v>Possessions sur GE</c:v>
                </c:pt>
              </c:strCache>
            </c:strRef>
          </c:cat>
          <c:val>
            <c:numRef>
              <c:f>'Image Stats générales'!$B$8:$B$9</c:f>
              <c:numCache>
                <c:formatCode>General</c:formatCode>
                <c:ptCount val="2"/>
                <c:pt idx="0">
                  <c:v>170</c:v>
                </c:pt>
                <c:pt idx="1">
                  <c:v>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23-4355-9F17-298A9F70D52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 sz="1100"/>
              <a:t>Utilisation</a:t>
            </a:r>
            <a:r>
              <a:rPr lang="fr-FR" sz="1100" baseline="0"/>
              <a:t> des ballons sur grand espace SAMBRE</a:t>
            </a:r>
          </a:p>
          <a:p>
            <a:pPr>
              <a:defRPr/>
            </a:pPr>
            <a:endParaRPr lang="fr-FR"/>
          </a:p>
        </c:rich>
      </c:tx>
      <c:layout>
        <c:manualLayout>
          <c:xMode val="edge"/>
          <c:yMode val="edge"/>
          <c:x val="0.22887489063867017"/>
          <c:y val="9.2592592592592587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5.9073539290438293E-2"/>
          <c:y val="4.7685039370078737E-2"/>
          <c:w val="0.93888888888888888"/>
          <c:h val="0.8416746864975212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'Image Stats générales'!$A$29:$A$32</c:f>
              <c:strCache>
                <c:ptCount val="4"/>
                <c:pt idx="0">
                  <c:v>CA MB</c:v>
                </c:pt>
                <c:pt idx="1">
                  <c:v>Transition</c:v>
                </c:pt>
                <c:pt idx="2">
                  <c:v>ER</c:v>
                </c:pt>
                <c:pt idx="3">
                  <c:v>But vide</c:v>
                </c:pt>
              </c:strCache>
            </c:strRef>
          </c:cat>
          <c:val>
            <c:numRef>
              <c:f>'Image Stats générales'!$C$29:$C$32</c:f>
              <c:numCache>
                <c:formatCode>0%</c:formatCode>
                <c:ptCount val="4"/>
                <c:pt idx="0">
                  <c:v>0.26363636363636361</c:v>
                </c:pt>
                <c:pt idx="1">
                  <c:v>0.33636363636363636</c:v>
                </c:pt>
                <c:pt idx="2">
                  <c:v>0.38181818181818183</c:v>
                </c:pt>
                <c:pt idx="3">
                  <c:v>1.8181818181818181E-2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13-4F11-B6E7-ED93796C76F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788604015"/>
        <c:axId val="788592015"/>
      </c:barChart>
      <c:catAx>
        <c:axId val="7886040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788592015"/>
        <c:crosses val="autoZero"/>
        <c:auto val="1"/>
        <c:lblAlgn val="ctr"/>
        <c:lblOffset val="100"/>
        <c:noMultiLvlLbl val="0"/>
      </c:catAx>
      <c:valAx>
        <c:axId val="788592015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7886040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Utilisation du grand espace adversaires</a:t>
            </a:r>
          </a:p>
          <a:p>
            <a:pPr>
              <a:defRPr/>
            </a:pPr>
            <a:endParaRPr lang="fr-FR"/>
          </a:p>
        </c:rich>
      </c:tx>
      <c:layout>
        <c:manualLayout>
          <c:xMode val="edge"/>
          <c:yMode val="edge"/>
          <c:x val="0.11328741847183266"/>
          <c:y val="4.154302670623145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'Image Stats générales'!$A$35:$A$38</c:f>
              <c:strCache>
                <c:ptCount val="4"/>
                <c:pt idx="0">
                  <c:v>CA MB</c:v>
                </c:pt>
                <c:pt idx="1">
                  <c:v>Transition</c:v>
                </c:pt>
                <c:pt idx="2">
                  <c:v>ER </c:v>
                </c:pt>
                <c:pt idx="3">
                  <c:v>But vide</c:v>
                </c:pt>
              </c:strCache>
            </c:strRef>
          </c:cat>
          <c:val>
            <c:numRef>
              <c:f>'Image Stats générales'!$C$35:$C$38</c:f>
              <c:numCache>
                <c:formatCode>0%</c:formatCode>
                <c:ptCount val="4"/>
                <c:pt idx="0">
                  <c:v>0.38750000000000001</c:v>
                </c:pt>
                <c:pt idx="1">
                  <c:v>0.4</c:v>
                </c:pt>
                <c:pt idx="2">
                  <c:v>0.2</c:v>
                </c:pt>
                <c:pt idx="3">
                  <c:v>1.2500000000000001E-2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26C-491E-9DD2-A98044140DB1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788556975"/>
        <c:axId val="788554095"/>
      </c:barChart>
      <c:catAx>
        <c:axId val="7885569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788554095"/>
        <c:crosses val="autoZero"/>
        <c:auto val="1"/>
        <c:lblAlgn val="ctr"/>
        <c:lblOffset val="100"/>
        <c:noMultiLvlLbl val="0"/>
      </c:catAx>
      <c:valAx>
        <c:axId val="7885540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7885569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Efficacité</a:t>
            </a:r>
            <a:r>
              <a:rPr lang="fr-FR" baseline="0"/>
              <a:t> phases de jeu SAHB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'Image Stats générales'!$A$43:$A$47</c:f>
              <c:strCache>
                <c:ptCount val="5"/>
                <c:pt idx="0">
                  <c:v>Attaques placées</c:v>
                </c:pt>
                <c:pt idx="1">
                  <c:v>CA MB</c:v>
                </c:pt>
                <c:pt idx="2">
                  <c:v>Transition</c:v>
                </c:pt>
                <c:pt idx="3">
                  <c:v>ER </c:v>
                </c:pt>
                <c:pt idx="4">
                  <c:v>But vide</c:v>
                </c:pt>
              </c:strCache>
            </c:strRef>
          </c:cat>
          <c:val>
            <c:numRef>
              <c:f>'Image Stats générales'!$B$43:$B$47</c:f>
              <c:numCache>
                <c:formatCode>0%</c:formatCode>
                <c:ptCount val="5"/>
                <c:pt idx="0">
                  <c:v>0.3904109589041096</c:v>
                </c:pt>
                <c:pt idx="1">
                  <c:v>0.51724137931034475</c:v>
                </c:pt>
                <c:pt idx="2">
                  <c:v>0.54054054054054057</c:v>
                </c:pt>
                <c:pt idx="3">
                  <c:v>0.45238095238095233</c:v>
                </c:pt>
                <c:pt idx="4">
                  <c:v>0.5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A7-4B1C-8EBE-BCC046A0AE7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788606895"/>
        <c:axId val="788581935"/>
      </c:barChart>
      <c:catAx>
        <c:axId val="788606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788581935"/>
        <c:crosses val="autoZero"/>
        <c:auto val="1"/>
        <c:lblAlgn val="ctr"/>
        <c:lblOffset val="100"/>
        <c:noMultiLvlLbl val="0"/>
      </c:catAx>
      <c:valAx>
        <c:axId val="788581935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7886068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Efficacité phases de jeu adversaire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'Image Stats générales'!$A$49:$A$53</c:f>
              <c:strCache>
                <c:ptCount val="5"/>
                <c:pt idx="0">
                  <c:v>Attaques placées</c:v>
                </c:pt>
                <c:pt idx="1">
                  <c:v>CA MB</c:v>
                </c:pt>
                <c:pt idx="2">
                  <c:v>Transition</c:v>
                </c:pt>
                <c:pt idx="3">
                  <c:v>ER </c:v>
                </c:pt>
                <c:pt idx="4">
                  <c:v>But vide</c:v>
                </c:pt>
              </c:strCache>
            </c:strRef>
          </c:cat>
          <c:val>
            <c:numRef>
              <c:f>'Image Stats générales'!$B$49:$B$53</c:f>
              <c:numCache>
                <c:formatCode>0%</c:formatCode>
                <c:ptCount val="5"/>
                <c:pt idx="0">
                  <c:v>0.45882352941176474</c:v>
                </c:pt>
                <c:pt idx="1">
                  <c:v>0.4838709677419355</c:v>
                </c:pt>
                <c:pt idx="2">
                  <c:v>0.6875</c:v>
                </c:pt>
                <c:pt idx="3">
                  <c:v>0.375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B77-4BFA-BEFF-AAD7B22B95E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788608815"/>
        <c:axId val="788582415"/>
      </c:barChart>
      <c:catAx>
        <c:axId val="788608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788582415"/>
        <c:crosses val="autoZero"/>
        <c:auto val="1"/>
        <c:lblAlgn val="ctr"/>
        <c:lblOffset val="100"/>
        <c:noMultiLvlLbl val="0"/>
      </c:catAx>
      <c:valAx>
        <c:axId val="788582415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788608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Répartition possessions</a:t>
            </a:r>
          </a:p>
          <a:p>
            <a:pPr>
              <a:defRPr/>
            </a:pPr>
            <a:r>
              <a:rPr lang="fr-FR" baseline="0"/>
              <a:t> par phase de jeu</a:t>
            </a: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'Image Stats générales'!$G$14</c:f>
              <c:strCache>
                <c:ptCount val="1"/>
                <c:pt idx="0">
                  <c:v>SAMBRE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'Image Stats générales'!$F$15:$F$19</c:f>
              <c:strCache>
                <c:ptCount val="5"/>
                <c:pt idx="0">
                  <c:v>AP</c:v>
                </c:pt>
                <c:pt idx="1">
                  <c:v>CA MB</c:v>
                </c:pt>
                <c:pt idx="2">
                  <c:v>Transition</c:v>
                </c:pt>
                <c:pt idx="3">
                  <c:v>ER</c:v>
                </c:pt>
                <c:pt idx="4">
                  <c:v>But vide</c:v>
                </c:pt>
              </c:strCache>
            </c:strRef>
          </c:cat>
          <c:val>
            <c:numRef>
              <c:f>'Image Stats générales'!$G$15:$G$19</c:f>
              <c:numCache>
                <c:formatCode>0%</c:formatCode>
                <c:ptCount val="5"/>
                <c:pt idx="0">
                  <c:v>0.5703125</c:v>
                </c:pt>
                <c:pt idx="1">
                  <c:v>0.11328125</c:v>
                </c:pt>
                <c:pt idx="2">
                  <c:v>0.14453125</c:v>
                </c:pt>
                <c:pt idx="3">
                  <c:v>0.1640625</c:v>
                </c:pt>
                <c:pt idx="4">
                  <c:v>7.8125E-3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8C2-4079-9B40-C0E3EFCDEFD6}"/>
            </c:ext>
          </c:extLst>
        </c:ser>
        <c:ser>
          <c:idx val="1"/>
          <c:order val="1"/>
          <c:tx>
            <c:strRef>
              <c:f>'Image Stats générales'!$H$14</c:f>
              <c:strCache>
                <c:ptCount val="1"/>
                <c:pt idx="0">
                  <c:v>ADV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'Image Stats générales'!$F$15:$F$19</c:f>
              <c:strCache>
                <c:ptCount val="5"/>
                <c:pt idx="0">
                  <c:v>AP</c:v>
                </c:pt>
                <c:pt idx="1">
                  <c:v>CA MB</c:v>
                </c:pt>
                <c:pt idx="2">
                  <c:v>Transition</c:v>
                </c:pt>
                <c:pt idx="3">
                  <c:v>ER</c:v>
                </c:pt>
                <c:pt idx="4">
                  <c:v>But vide</c:v>
                </c:pt>
              </c:strCache>
            </c:strRef>
          </c:cat>
          <c:val>
            <c:numRef>
              <c:f>'Image Stats générales'!$H$15:$H$19</c:f>
              <c:numCache>
                <c:formatCode>0%</c:formatCode>
                <c:ptCount val="5"/>
                <c:pt idx="0">
                  <c:v>0.68</c:v>
                </c:pt>
                <c:pt idx="1">
                  <c:v>0.124</c:v>
                </c:pt>
                <c:pt idx="2">
                  <c:v>0.128</c:v>
                </c:pt>
                <c:pt idx="3">
                  <c:v>6.4000000000000001E-2</c:v>
                </c:pt>
                <c:pt idx="4">
                  <c:v>4.0000000000000001E-3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8C2-4079-9B40-C0E3EFCDEFD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572717296"/>
        <c:axId val="1572719216"/>
      </c:barChart>
      <c:catAx>
        <c:axId val="157271729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572719216"/>
        <c:crosses val="autoZero"/>
        <c:auto val="1"/>
        <c:lblAlgn val="ctr"/>
        <c:lblOffset val="100"/>
        <c:noMultiLvlLbl val="0"/>
      </c:catAx>
      <c:valAx>
        <c:axId val="157271921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572717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PROPORTION</a:t>
            </a:r>
            <a:r>
              <a:rPr lang="fr-FR" baseline="0"/>
              <a:t> DE L'utilisation des enclenchements</a:t>
            </a:r>
          </a:p>
          <a:p>
            <a:pPr>
              <a:defRPr/>
            </a:pPr>
            <a:endParaRPr lang="fr-F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25960083527493777"/>
          <c:w val="1"/>
          <c:h val="0.73511410032079327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alpha val="90000"/>
                </a:schemeClr>
              </a:solidFill>
              <a:ln w="19050">
                <a:solidFill>
                  <a:schemeClr val="accent1">
                    <a:lumMod val="75000"/>
                  </a:schemeClr>
                </a:solidFill>
              </a:ln>
              <a:effectLst>
                <a:innerShdw blurRad="114300">
                  <a:schemeClr val="accent1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1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08B2-4E4C-AB63-FF654070853B}"/>
              </c:ext>
            </c:extLst>
          </c:dPt>
          <c:dPt>
            <c:idx val="1"/>
            <c:bubble3D val="0"/>
            <c:spPr>
              <a:solidFill>
                <a:schemeClr val="accent2">
                  <a:alpha val="90000"/>
                </a:schemeClr>
              </a:solidFill>
              <a:ln w="19050">
                <a:solidFill>
                  <a:schemeClr val="accent2">
                    <a:lumMod val="75000"/>
                  </a:schemeClr>
                </a:solidFill>
              </a:ln>
              <a:effectLst>
                <a:innerShdw blurRad="114300">
                  <a:schemeClr val="accent2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2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A-08B2-4E4C-AB63-FF654070853B}"/>
              </c:ext>
            </c:extLst>
          </c:dPt>
          <c:dPt>
            <c:idx val="2"/>
            <c:bubble3D val="0"/>
            <c:spPr>
              <a:solidFill>
                <a:schemeClr val="accent3">
                  <a:alpha val="90000"/>
                </a:schemeClr>
              </a:solidFill>
              <a:ln w="19050">
                <a:solidFill>
                  <a:schemeClr val="accent3">
                    <a:lumMod val="75000"/>
                  </a:schemeClr>
                </a:solidFill>
              </a:ln>
              <a:effectLst>
                <a:innerShdw blurRad="114300">
                  <a:schemeClr val="accent3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3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8-08B2-4E4C-AB63-FF654070853B}"/>
              </c:ext>
            </c:extLst>
          </c:dPt>
          <c:dPt>
            <c:idx val="3"/>
            <c:bubble3D val="0"/>
            <c:spPr>
              <a:solidFill>
                <a:schemeClr val="accent4">
                  <a:alpha val="90000"/>
                </a:schemeClr>
              </a:solidFill>
              <a:ln w="19050">
                <a:solidFill>
                  <a:schemeClr val="accent4">
                    <a:lumMod val="75000"/>
                  </a:schemeClr>
                </a:solidFill>
              </a:ln>
              <a:effectLst>
                <a:innerShdw blurRad="114300">
                  <a:schemeClr val="accent4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4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08B2-4E4C-AB63-FF654070853B}"/>
              </c:ext>
            </c:extLst>
          </c:dPt>
          <c:dPt>
            <c:idx val="4"/>
            <c:bubble3D val="0"/>
            <c:spPr>
              <a:solidFill>
                <a:schemeClr val="accent5">
                  <a:alpha val="90000"/>
                </a:schemeClr>
              </a:solidFill>
              <a:ln w="19050">
                <a:solidFill>
                  <a:schemeClr val="accent5">
                    <a:lumMod val="75000"/>
                  </a:schemeClr>
                </a:solidFill>
              </a:ln>
              <a:effectLst>
                <a:innerShdw blurRad="114300">
                  <a:schemeClr val="accent5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5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2-08B2-4E4C-AB63-FF654070853B}"/>
              </c:ext>
            </c:extLst>
          </c:dPt>
          <c:dPt>
            <c:idx val="5"/>
            <c:bubble3D val="0"/>
            <c:spPr>
              <a:solidFill>
                <a:schemeClr val="accent6">
                  <a:alpha val="90000"/>
                </a:schemeClr>
              </a:solidFill>
              <a:ln w="19050">
                <a:solidFill>
                  <a:schemeClr val="accent6">
                    <a:lumMod val="75000"/>
                  </a:schemeClr>
                </a:solidFill>
              </a:ln>
              <a:effectLst>
                <a:innerShdw blurRad="114300">
                  <a:schemeClr val="accent6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6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08B2-4E4C-AB63-FF654070853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  <a:alpha val="90000"/>
                </a:schemeClr>
              </a:solidFill>
              <a:ln w="19050">
                <a:solidFill>
                  <a:schemeClr val="accent1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1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1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4-08B2-4E4C-AB63-FF654070853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  <a:alpha val="90000"/>
                </a:schemeClr>
              </a:solidFill>
              <a:ln w="19050">
                <a:solidFill>
                  <a:schemeClr val="accent2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2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2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08B2-4E4C-AB63-FF654070853B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  <a:alpha val="90000"/>
                </a:schemeClr>
              </a:solidFill>
              <a:ln w="19050">
                <a:solidFill>
                  <a:schemeClr val="accent3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3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3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6-08B2-4E4C-AB63-FF654070853B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  <a:alpha val="90000"/>
                </a:schemeClr>
              </a:solidFill>
              <a:ln w="19050">
                <a:solidFill>
                  <a:schemeClr val="accent4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4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4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08B2-4E4C-AB63-FF654070853B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  <a:alpha val="90000"/>
                </a:schemeClr>
              </a:solidFill>
              <a:ln w="19050">
                <a:solidFill>
                  <a:schemeClr val="accent5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5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5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8-4E1A-48FB-9A51-D842D133036D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  <a:alpha val="90000"/>
                </a:schemeClr>
              </a:solidFill>
              <a:ln w="19050">
                <a:solidFill>
                  <a:schemeClr val="accent6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6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6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9-4E1A-48FB-9A51-D842D133036D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1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1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1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A-4E1A-48FB-9A51-D842D133036D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2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2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2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E-4E1A-48FB-9A51-D842D133036D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3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3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3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D-2033-4AA1-8E54-59D585235C61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4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4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4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F-5589-44F4-9C7C-437D35A322B7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5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5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5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1-5589-44F4-9C7C-437D35A322B7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6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6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6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3-5589-44F4-9C7C-437D35A322B7}"/>
              </c:ext>
            </c:extLst>
          </c:dPt>
          <c:dLbls>
            <c:dLbl>
              <c:idx val="0"/>
              <c:layout>
                <c:manualLayout>
                  <c:x val="-0.1282171351097669"/>
                  <c:y val="9.4383900460336026E-2"/>
                </c:manualLayout>
              </c:layout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1"/>
                  </a:solidFill>
                  <a:round/>
                </a:ln>
                <a:effectLst>
                  <a:outerShdw blurRad="50800" dist="38100" dir="2700000" algn="tl" rotWithShape="0">
                    <a:schemeClr val="accent1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1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08B2-4E4C-AB63-FF654070853B}"/>
                </c:ext>
              </c:extLst>
            </c:dLbl>
            <c:dLbl>
              <c:idx val="1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2"/>
                  </a:solidFill>
                  <a:round/>
                </a:ln>
                <a:effectLst>
                  <a:outerShdw blurRad="50800" dist="38100" dir="2700000" algn="tl" rotWithShape="0">
                    <a:schemeClr val="accent2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2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A-08B2-4E4C-AB63-FF654070853B}"/>
                </c:ext>
              </c:extLst>
            </c:dLbl>
            <c:dLbl>
              <c:idx val="2"/>
              <c:layout>
                <c:manualLayout>
                  <c:x val="-5.1274385403811277E-3"/>
                  <c:y val="-0.2432839243209898"/>
                </c:manualLayout>
              </c:layout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3"/>
                  </a:solidFill>
                  <a:round/>
                </a:ln>
                <a:effectLst>
                  <a:outerShdw blurRad="50800" dist="38100" dir="2700000" algn="tl" rotWithShape="0">
                    <a:schemeClr val="accent3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3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08B2-4E4C-AB63-FF654070853B}"/>
                </c:ext>
              </c:extLst>
            </c:dLbl>
            <c:dLbl>
              <c:idx val="3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4"/>
                  </a:solidFill>
                  <a:round/>
                </a:ln>
                <a:effectLst>
                  <a:outerShdw blurRad="50800" dist="38100" dir="2700000" algn="tl" rotWithShape="0">
                    <a:schemeClr val="accent4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4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B-08B2-4E4C-AB63-FF654070853B}"/>
                </c:ext>
              </c:extLst>
            </c:dLbl>
            <c:dLbl>
              <c:idx val="4"/>
              <c:layout>
                <c:manualLayout>
                  <c:x val="8.5652372923583232E-3"/>
                  <c:y val="-7.2190699000762373E-2"/>
                </c:manualLayout>
              </c:layout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5"/>
                  </a:solidFill>
                  <a:round/>
                </a:ln>
                <a:effectLst>
                  <a:outerShdw blurRad="50800" dist="38100" dir="2700000" algn="tl" rotWithShape="0">
                    <a:schemeClr val="accent5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5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08B2-4E4C-AB63-FF654070853B}"/>
                </c:ext>
              </c:extLst>
            </c:dLbl>
            <c:dLbl>
              <c:idx val="5"/>
              <c:layout>
                <c:manualLayout>
                  <c:x val="1.2859501833793927E-2"/>
                  <c:y val="-1.6147260971536039E-2"/>
                </c:manualLayout>
              </c:layout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6"/>
                  </a:solidFill>
                  <a:round/>
                </a:ln>
                <a:effectLst>
                  <a:outerShdw blurRad="50800" dist="38100" dir="2700000" algn="tl" rotWithShape="0">
                    <a:schemeClr val="accent6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6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08B2-4E4C-AB63-FF654070853B}"/>
                </c:ext>
              </c:extLst>
            </c:dLbl>
            <c:dLbl>
              <c:idx val="6"/>
              <c:layout>
                <c:manualLayout>
                  <c:x val="0.10733366938404217"/>
                  <c:y val="4.9155507446269883E-2"/>
                </c:manualLayout>
              </c:layout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1">
                      <a:lumMod val="60000"/>
                    </a:schemeClr>
                  </a:solidFill>
                  <a:round/>
                </a:ln>
                <a:effectLst>
                  <a:outerShdw blurRad="50800" dist="38100" dir="2700000" algn="tl" rotWithShape="0">
                    <a:schemeClr val="accent1">
                      <a:lumMod val="60000"/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1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08B2-4E4C-AB63-FF654070853B}"/>
                </c:ext>
              </c:extLst>
            </c:dLbl>
            <c:dLbl>
              <c:idx val="7"/>
              <c:layout>
                <c:manualLayout>
                  <c:x val="5.9745064979460298E-2"/>
                  <c:y val="2.1773719526744301E-2"/>
                </c:manualLayout>
              </c:layout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2">
                      <a:lumMod val="60000"/>
                    </a:schemeClr>
                  </a:solidFill>
                  <a:round/>
                </a:ln>
                <a:effectLst>
                  <a:outerShdw blurRad="50800" dist="38100" dir="2700000" algn="tl" rotWithShape="0">
                    <a:schemeClr val="accent2">
                      <a:lumMod val="60000"/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2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08B2-4E4C-AB63-FF654070853B}"/>
                </c:ext>
              </c:extLst>
            </c:dLbl>
            <c:dLbl>
              <c:idx val="8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5B9BD5"/>
                  </a:solidFill>
                  <a:round/>
                </a:ln>
                <a:effectLst>
                  <a:outerShdw blurRad="50800" dist="38100" dir="2700000" algn="tl" rotWithShape="0">
                    <a:srgbClr val="5B9BD5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3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6-08B2-4E4C-AB63-FF654070853B}"/>
                </c:ext>
              </c:extLst>
            </c:dLbl>
            <c:dLbl>
              <c:idx val="9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5B9BD5"/>
                  </a:solidFill>
                  <a:round/>
                </a:ln>
                <a:effectLst>
                  <a:outerShdw blurRad="50800" dist="38100" dir="2700000" algn="tl" rotWithShape="0">
                    <a:srgbClr val="5B9BD5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4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08B2-4E4C-AB63-FF654070853B}"/>
                </c:ext>
              </c:extLst>
            </c:dLbl>
            <c:dLbl>
              <c:idx val="10"/>
              <c:layout>
                <c:manualLayout>
                  <c:x val="3.6604163953523818E-2"/>
                  <c:y val="0.12128299595313075"/>
                </c:manualLayout>
              </c:layout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5">
                      <a:lumMod val="60000"/>
                    </a:schemeClr>
                  </a:solidFill>
                  <a:round/>
                </a:ln>
                <a:effectLst>
                  <a:outerShdw blurRad="50800" dist="38100" dir="2700000" algn="tl" rotWithShape="0">
                    <a:schemeClr val="accent5">
                      <a:lumMod val="60000"/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5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9.5628327819003753E-2"/>
                      <c:h val="3.3646293994136434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28-4E1A-48FB-9A51-D842D133036D}"/>
                </c:ext>
              </c:extLst>
            </c:dLbl>
            <c:dLbl>
              <c:idx val="11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5B9BD5"/>
                  </a:solidFill>
                  <a:round/>
                </a:ln>
                <a:effectLst>
                  <a:outerShdw blurRad="50800" dist="38100" dir="2700000" algn="tl" rotWithShape="0">
                    <a:srgbClr val="5B9BD5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6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29-4E1A-48FB-9A51-D842D133036D}"/>
                </c:ext>
              </c:extLst>
            </c:dLbl>
            <c:dLbl>
              <c:idx val="12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5B9BD5"/>
                  </a:solidFill>
                  <a:round/>
                </a:ln>
                <a:effectLst>
                  <a:outerShdw blurRad="50800" dist="38100" dir="2700000" algn="tl" rotWithShape="0">
                    <a:srgbClr val="5B9BD5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1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2A-4E1A-48FB-9A51-D842D133036D}"/>
                </c:ext>
              </c:extLst>
            </c:dLbl>
            <c:dLbl>
              <c:idx val="13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5B9BD5"/>
                  </a:solidFill>
                  <a:round/>
                </a:ln>
                <a:effectLst>
                  <a:outerShdw blurRad="50800" dist="38100" dir="2700000" algn="tl" rotWithShape="0">
                    <a:srgbClr val="5B9BD5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2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2E-4E1A-48FB-9A51-D842D133036D}"/>
                </c:ext>
              </c:extLst>
            </c:dLbl>
            <c:dLbl>
              <c:idx val="14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5B9BD5"/>
                  </a:solidFill>
                  <a:round/>
                </a:ln>
                <a:effectLst>
                  <a:outerShdw blurRad="50800" dist="38100" dir="2700000" algn="tl" rotWithShape="0">
                    <a:srgbClr val="5B9BD5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3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D-2033-4AA1-8E54-59D585235C61}"/>
                </c:ext>
              </c:extLst>
            </c:dLbl>
            <c:dLbl>
              <c:idx val="15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5B9BD5"/>
                  </a:solidFill>
                  <a:round/>
                </a:ln>
                <a:effectLst>
                  <a:outerShdw blurRad="50800" dist="38100" dir="2700000" algn="tl" rotWithShape="0">
                    <a:srgbClr val="5B9BD5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4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F-5589-44F4-9C7C-437D35A322B7}"/>
                </c:ext>
              </c:extLst>
            </c:dLbl>
            <c:dLbl>
              <c:idx val="16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5B9BD5"/>
                  </a:solidFill>
                  <a:round/>
                </a:ln>
                <a:effectLst>
                  <a:outerShdw blurRad="50800" dist="38100" dir="2700000" algn="tl" rotWithShape="0">
                    <a:srgbClr val="5B9BD5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5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21-5589-44F4-9C7C-437D35A322B7}"/>
                </c:ext>
              </c:extLst>
            </c:dLbl>
            <c:dLbl>
              <c:idx val="17"/>
              <c:layout>
                <c:manualLayout>
                  <c:x val="8.2414698162728579E-3"/>
                  <c:y val="2.1344227758669856E-3"/>
                </c:manualLayout>
              </c:layout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6">
                      <a:lumMod val="80000"/>
                      <a:lumOff val="20000"/>
                    </a:schemeClr>
                  </a:solidFill>
                  <a:round/>
                </a:ln>
                <a:effectLst>
                  <a:outerShdw blurRad="50800" dist="38100" dir="2700000" algn="tl" rotWithShape="0">
                    <a:schemeClr val="accent6">
                      <a:lumMod val="80000"/>
                      <a:lumOff val="20000"/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6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3-5589-44F4-9C7C-437D35A322B7}"/>
                </c:ext>
              </c:extLst>
            </c:dLbl>
            <c:spPr>
              <a:solidFill>
                <a:sysClr val="window" lastClr="FFFFFF">
                  <a:alpha val="90000"/>
                </a:sysClr>
              </a:solidFill>
              <a:ln w="12700" cap="flat" cmpd="sng" algn="ctr">
                <a:solidFill>
                  <a:srgbClr val="5B9BD5"/>
                </a:solidFill>
                <a:round/>
              </a:ln>
              <a:effectLst>
                <a:outerShdw blurRad="50800" dist="38100" dir="2700000" algn="tl" rotWithShape="0">
                  <a:srgbClr val="5B9BD5">
                    <a:lumMod val="75000"/>
                    <a:alpha val="40000"/>
                  </a:srgbClr>
                </a:outerShdw>
              </a:effectLst>
            </c:sp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'Efficacité par enclenchement'!$B$4:$B$21</c:f>
              <c:strCache>
                <c:ptCount val="18"/>
                <c:pt idx="0">
                  <c:v>Separation 34</c:v>
                </c:pt>
                <c:pt idx="1">
                  <c:v>YOUGO 34</c:v>
                </c:pt>
                <c:pt idx="2">
                  <c:v>METZ</c:v>
                </c:pt>
                <c:pt idx="3">
                  <c:v>YAGO</c:v>
                </c:pt>
                <c:pt idx="4">
                  <c:v>ALGE</c:v>
                </c:pt>
                <c:pt idx="5">
                  <c:v>AALBORG</c:v>
                </c:pt>
                <c:pt idx="6">
                  <c:v>YOUGO int int</c:v>
                </c:pt>
                <c:pt idx="7">
                  <c:v>ESPAGNOL</c:v>
                </c:pt>
                <c:pt idx="8">
                  <c:v>HONGROIS</c:v>
                </c:pt>
                <c:pt idx="9">
                  <c:v>PVT 12 ou 56 rentrée AL</c:v>
                </c:pt>
                <c:pt idx="10">
                  <c:v>YOUGO Glissé</c:v>
                </c:pt>
                <c:pt idx="11">
                  <c:v>PVT 12 PVT 12</c:v>
                </c:pt>
                <c:pt idx="12">
                  <c:v>W AL 12 ou 56</c:v>
                </c:pt>
                <c:pt idx="13">
                  <c:v>Autres</c:v>
                </c:pt>
                <c:pt idx="14">
                  <c:v>Gd croisé AR AR retour AL</c:v>
                </c:pt>
                <c:pt idx="17">
                  <c:v>ALGERIEN</c:v>
                </c:pt>
              </c:strCache>
            </c:strRef>
          </c:cat>
          <c:val>
            <c:numRef>
              <c:f>'Efficacité par enclenchement'!$L$4:$L$21</c:f>
              <c:numCache>
                <c:formatCode>General</c:formatCode>
                <c:ptCount val="18"/>
                <c:pt idx="0">
                  <c:v>32</c:v>
                </c:pt>
                <c:pt idx="1">
                  <c:v>4</c:v>
                </c:pt>
                <c:pt idx="2">
                  <c:v>11</c:v>
                </c:pt>
                <c:pt idx="3">
                  <c:v>23</c:v>
                </c:pt>
                <c:pt idx="4">
                  <c:v>1</c:v>
                </c:pt>
                <c:pt idx="5">
                  <c:v>1</c:v>
                </c:pt>
                <c:pt idx="6">
                  <c:v>22</c:v>
                </c:pt>
                <c:pt idx="7">
                  <c:v>17</c:v>
                </c:pt>
                <c:pt idx="8">
                  <c:v>1</c:v>
                </c:pt>
                <c:pt idx="9">
                  <c:v>1</c:v>
                </c:pt>
                <c:pt idx="10">
                  <c:v>15</c:v>
                </c:pt>
                <c:pt idx="11">
                  <c:v>1</c:v>
                </c:pt>
                <c:pt idx="12">
                  <c:v>23</c:v>
                </c:pt>
                <c:pt idx="13">
                  <c:v>1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8B2-4E4C-AB63-FF654070853B}"/>
            </c:ext>
          </c:extLst>
        </c:ser>
        <c:ser>
          <c:idx val="1"/>
          <c:order val="1"/>
          <c:dPt>
            <c:idx val="0"/>
            <c:bubble3D val="0"/>
            <c:spPr>
              <a:solidFill>
                <a:schemeClr val="accent1">
                  <a:alpha val="90000"/>
                </a:schemeClr>
              </a:solidFill>
              <a:ln w="19050">
                <a:solidFill>
                  <a:schemeClr val="accent1">
                    <a:lumMod val="75000"/>
                  </a:schemeClr>
                </a:solidFill>
              </a:ln>
              <a:effectLst>
                <a:innerShdw blurRad="114300">
                  <a:schemeClr val="accent1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1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C-08B2-4E4C-AB63-FF654070853B}"/>
              </c:ext>
            </c:extLst>
          </c:dPt>
          <c:dPt>
            <c:idx val="1"/>
            <c:bubble3D val="0"/>
            <c:spPr>
              <a:solidFill>
                <a:schemeClr val="accent2">
                  <a:alpha val="90000"/>
                </a:schemeClr>
              </a:solidFill>
              <a:ln w="19050">
                <a:solidFill>
                  <a:schemeClr val="accent2">
                    <a:lumMod val="75000"/>
                  </a:schemeClr>
                </a:solidFill>
              </a:ln>
              <a:effectLst>
                <a:innerShdw blurRad="114300">
                  <a:schemeClr val="accent2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2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08B2-4E4C-AB63-FF654070853B}"/>
              </c:ext>
            </c:extLst>
          </c:dPt>
          <c:dPt>
            <c:idx val="2"/>
            <c:bubble3D val="0"/>
            <c:spPr>
              <a:solidFill>
                <a:schemeClr val="accent3">
                  <a:alpha val="90000"/>
                </a:schemeClr>
              </a:solidFill>
              <a:ln w="19050">
                <a:solidFill>
                  <a:schemeClr val="accent3">
                    <a:lumMod val="75000"/>
                  </a:schemeClr>
                </a:solidFill>
              </a:ln>
              <a:effectLst>
                <a:innerShdw blurRad="114300">
                  <a:schemeClr val="accent3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3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E-08B2-4E4C-AB63-FF654070853B}"/>
              </c:ext>
            </c:extLst>
          </c:dPt>
          <c:dPt>
            <c:idx val="3"/>
            <c:bubble3D val="0"/>
            <c:spPr>
              <a:solidFill>
                <a:schemeClr val="accent4">
                  <a:alpha val="90000"/>
                </a:schemeClr>
              </a:solidFill>
              <a:ln w="19050">
                <a:solidFill>
                  <a:schemeClr val="accent4">
                    <a:lumMod val="75000"/>
                  </a:schemeClr>
                </a:solidFill>
              </a:ln>
              <a:effectLst>
                <a:innerShdw blurRad="114300">
                  <a:schemeClr val="accent4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4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08B2-4E4C-AB63-FF654070853B}"/>
              </c:ext>
            </c:extLst>
          </c:dPt>
          <c:dPt>
            <c:idx val="4"/>
            <c:bubble3D val="0"/>
            <c:spPr>
              <a:solidFill>
                <a:schemeClr val="accent5">
                  <a:alpha val="90000"/>
                </a:schemeClr>
              </a:solidFill>
              <a:ln w="19050">
                <a:solidFill>
                  <a:schemeClr val="accent5">
                    <a:lumMod val="75000"/>
                  </a:schemeClr>
                </a:solidFill>
              </a:ln>
              <a:effectLst>
                <a:innerShdw blurRad="114300">
                  <a:schemeClr val="accent5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5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0-08B2-4E4C-AB63-FF654070853B}"/>
              </c:ext>
            </c:extLst>
          </c:dPt>
          <c:dPt>
            <c:idx val="5"/>
            <c:bubble3D val="0"/>
            <c:spPr>
              <a:solidFill>
                <a:schemeClr val="accent6">
                  <a:alpha val="90000"/>
                </a:schemeClr>
              </a:solidFill>
              <a:ln w="19050">
                <a:solidFill>
                  <a:schemeClr val="accent6">
                    <a:lumMod val="75000"/>
                  </a:schemeClr>
                </a:solidFill>
              </a:ln>
              <a:effectLst>
                <a:innerShdw blurRad="114300">
                  <a:schemeClr val="accent6"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6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08B2-4E4C-AB63-FF654070853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  <a:alpha val="90000"/>
                </a:schemeClr>
              </a:solidFill>
              <a:ln w="19050">
                <a:solidFill>
                  <a:schemeClr val="accent1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1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1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2-08B2-4E4C-AB63-FF654070853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  <a:alpha val="90000"/>
                </a:schemeClr>
              </a:solidFill>
              <a:ln w="19050">
                <a:solidFill>
                  <a:schemeClr val="accent2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2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2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08B2-4E4C-AB63-FF654070853B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  <a:alpha val="90000"/>
                </a:schemeClr>
              </a:solidFill>
              <a:ln w="19050">
                <a:solidFill>
                  <a:schemeClr val="accent3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3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3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4-08B2-4E4C-AB63-FF654070853B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  <a:alpha val="90000"/>
                </a:schemeClr>
              </a:solidFill>
              <a:ln w="19050">
                <a:solidFill>
                  <a:schemeClr val="accent4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4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4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5-08B2-4E4C-AB63-FF654070853B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  <a:alpha val="90000"/>
                </a:schemeClr>
              </a:solidFill>
              <a:ln w="19050">
                <a:solidFill>
                  <a:schemeClr val="accent5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5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5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B-4E1A-48FB-9A51-D842D133036D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  <a:alpha val="90000"/>
                </a:schemeClr>
              </a:solidFill>
              <a:ln w="19050">
                <a:solidFill>
                  <a:schemeClr val="accent6">
                    <a:lumMod val="60000"/>
                    <a:lumMod val="75000"/>
                  </a:schemeClr>
                </a:solidFill>
              </a:ln>
              <a:effectLst>
                <a:innerShdw blurRad="114300">
                  <a:schemeClr val="accent6">
                    <a:lumMod val="6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6">
                    <a:lumMod val="6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C-4E1A-48FB-9A51-D842D133036D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1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1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1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D-4E1A-48FB-9A51-D842D133036D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2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2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2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F-4E1A-48FB-9A51-D842D133036D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3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3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3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B-2033-4AA1-8E54-59D585235C61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4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4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4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3-5589-44F4-9C7C-437D35A322B7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5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5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5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5-5589-44F4-9C7C-437D35A322B7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  <a:alpha val="90000"/>
                </a:schemeClr>
              </a:solidFill>
              <a:ln w="19050">
                <a:solidFill>
                  <a:schemeClr val="accent6">
                    <a:lumMod val="80000"/>
                    <a:lumOff val="20000"/>
                    <a:lumMod val="75000"/>
                  </a:schemeClr>
                </a:solidFill>
              </a:ln>
              <a:effectLst>
                <a:innerShdw blurRad="114300">
                  <a:schemeClr val="accent6">
                    <a:lumMod val="80000"/>
                    <a:lumOff val="20000"/>
                    <a:lumMod val="75000"/>
                  </a:schemeClr>
                </a:innerShdw>
              </a:effectLst>
              <a:scene3d>
                <a:camera prst="orthographicFront"/>
                <a:lightRig rig="threePt" dir="t"/>
              </a:scene3d>
              <a:sp3d contourW="19050" prstMaterial="flat">
                <a:contourClr>
                  <a:schemeClr val="accent6">
                    <a:lumMod val="80000"/>
                    <a:lumOff val="20000"/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7-5589-44F4-9C7C-437D35A322B7}"/>
              </c:ext>
            </c:extLst>
          </c:dPt>
          <c:dLbls>
            <c:dLbl>
              <c:idx val="0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1"/>
                  </a:solidFill>
                  <a:round/>
                </a:ln>
                <a:effectLst>
                  <a:outerShdw blurRad="50800" dist="38100" dir="2700000" algn="tl" rotWithShape="0">
                    <a:schemeClr val="accent1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1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C-08B2-4E4C-AB63-FF654070853B}"/>
                </c:ext>
              </c:extLst>
            </c:dLbl>
            <c:dLbl>
              <c:idx val="1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2"/>
                  </a:solidFill>
                  <a:round/>
                </a:ln>
                <a:effectLst>
                  <a:outerShdw blurRad="50800" dist="38100" dir="2700000" algn="tl" rotWithShape="0">
                    <a:schemeClr val="accent2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2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D-08B2-4E4C-AB63-FF654070853B}"/>
                </c:ext>
              </c:extLst>
            </c:dLbl>
            <c:dLbl>
              <c:idx val="2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3"/>
                  </a:solidFill>
                  <a:round/>
                </a:ln>
                <a:effectLst>
                  <a:outerShdw blurRad="50800" dist="38100" dir="2700000" algn="tl" rotWithShape="0">
                    <a:schemeClr val="accent3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3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E-08B2-4E4C-AB63-FF654070853B}"/>
                </c:ext>
              </c:extLst>
            </c:dLbl>
            <c:dLbl>
              <c:idx val="3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4"/>
                  </a:solidFill>
                  <a:round/>
                </a:ln>
                <a:effectLst>
                  <a:outerShdw blurRad="50800" dist="38100" dir="2700000" algn="tl" rotWithShape="0">
                    <a:schemeClr val="accent4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4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F-08B2-4E4C-AB63-FF654070853B}"/>
                </c:ext>
              </c:extLst>
            </c:dLbl>
            <c:dLbl>
              <c:idx val="4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5"/>
                  </a:solidFill>
                  <a:round/>
                </a:ln>
                <a:effectLst>
                  <a:outerShdw blurRad="50800" dist="38100" dir="2700000" algn="tl" rotWithShape="0">
                    <a:schemeClr val="accent5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5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0-08B2-4E4C-AB63-FF654070853B}"/>
                </c:ext>
              </c:extLst>
            </c:dLbl>
            <c:dLbl>
              <c:idx val="5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6"/>
                  </a:solidFill>
                  <a:round/>
                </a:ln>
                <a:effectLst>
                  <a:outerShdw blurRad="50800" dist="38100" dir="2700000" algn="tl" rotWithShape="0">
                    <a:schemeClr val="accent6"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6"/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1-08B2-4E4C-AB63-FF654070853B}"/>
                </c:ext>
              </c:extLst>
            </c:dLbl>
            <c:dLbl>
              <c:idx val="6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1">
                      <a:lumMod val="60000"/>
                    </a:schemeClr>
                  </a:solidFill>
                  <a:round/>
                </a:ln>
                <a:effectLst>
                  <a:outerShdw blurRad="50800" dist="38100" dir="2700000" algn="tl" rotWithShape="0">
                    <a:schemeClr val="accent1">
                      <a:lumMod val="60000"/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1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2-08B2-4E4C-AB63-FF654070853B}"/>
                </c:ext>
              </c:extLst>
            </c:dLbl>
            <c:dLbl>
              <c:idx val="7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2">
                      <a:lumMod val="60000"/>
                    </a:schemeClr>
                  </a:solidFill>
                  <a:round/>
                </a:ln>
                <a:effectLst>
                  <a:outerShdw blurRad="50800" dist="38100" dir="2700000" algn="tl" rotWithShape="0">
                    <a:schemeClr val="accent2">
                      <a:lumMod val="60000"/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2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3-08B2-4E4C-AB63-FF654070853B}"/>
                </c:ext>
              </c:extLst>
            </c:dLbl>
            <c:dLbl>
              <c:idx val="8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ED7D31"/>
                  </a:solidFill>
                  <a:round/>
                </a:ln>
                <a:effectLst>
                  <a:outerShdw blurRad="50800" dist="38100" dir="2700000" algn="tl" rotWithShape="0">
                    <a:srgbClr val="ED7D31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3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4-08B2-4E4C-AB63-FF654070853B}"/>
                </c:ext>
              </c:extLst>
            </c:dLbl>
            <c:dLbl>
              <c:idx val="9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ED7D31"/>
                  </a:solidFill>
                  <a:round/>
                </a:ln>
                <a:effectLst>
                  <a:outerShdw blurRad="50800" dist="38100" dir="2700000" algn="tl" rotWithShape="0">
                    <a:srgbClr val="ED7D31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4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5-08B2-4E4C-AB63-FF654070853B}"/>
                </c:ext>
              </c:extLst>
            </c:dLbl>
            <c:dLbl>
              <c:idx val="10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5">
                      <a:lumMod val="60000"/>
                    </a:schemeClr>
                  </a:solidFill>
                  <a:round/>
                </a:ln>
                <a:effectLst>
                  <a:outerShdw blurRad="50800" dist="38100" dir="2700000" algn="tl" rotWithShape="0">
                    <a:schemeClr val="accent5">
                      <a:lumMod val="60000"/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5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2B-4E1A-48FB-9A51-D842D133036D}"/>
                </c:ext>
              </c:extLst>
            </c:dLbl>
            <c:dLbl>
              <c:idx val="11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ED7D31"/>
                  </a:solidFill>
                  <a:round/>
                </a:ln>
                <a:effectLst>
                  <a:outerShdw blurRad="50800" dist="38100" dir="2700000" algn="tl" rotWithShape="0">
                    <a:srgbClr val="ED7D31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6">
                          <a:lumMod val="6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2C-4E1A-48FB-9A51-D842D133036D}"/>
                </c:ext>
              </c:extLst>
            </c:dLbl>
            <c:dLbl>
              <c:idx val="12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ED7D31"/>
                  </a:solidFill>
                  <a:round/>
                </a:ln>
                <a:effectLst>
                  <a:outerShdw blurRad="50800" dist="38100" dir="2700000" algn="tl" rotWithShape="0">
                    <a:srgbClr val="ED7D31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1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2D-4E1A-48FB-9A51-D842D133036D}"/>
                </c:ext>
              </c:extLst>
            </c:dLbl>
            <c:dLbl>
              <c:idx val="13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ED7D31"/>
                  </a:solidFill>
                  <a:round/>
                </a:ln>
                <a:effectLst>
                  <a:outerShdw blurRad="50800" dist="38100" dir="2700000" algn="tl" rotWithShape="0">
                    <a:srgbClr val="ED7D31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2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2F-4E1A-48FB-9A51-D842D133036D}"/>
                </c:ext>
              </c:extLst>
            </c:dLbl>
            <c:dLbl>
              <c:idx val="14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ED7D31"/>
                  </a:solidFill>
                  <a:round/>
                </a:ln>
                <a:effectLst>
                  <a:outerShdw blurRad="50800" dist="38100" dir="2700000" algn="tl" rotWithShape="0">
                    <a:srgbClr val="ED7D31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3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3B-2033-4AA1-8E54-59D585235C61}"/>
                </c:ext>
              </c:extLst>
            </c:dLbl>
            <c:dLbl>
              <c:idx val="15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ED7D31"/>
                  </a:solidFill>
                  <a:round/>
                </a:ln>
                <a:effectLst>
                  <a:outerShdw blurRad="50800" dist="38100" dir="2700000" algn="tl" rotWithShape="0">
                    <a:srgbClr val="ED7D31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4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43-5589-44F4-9C7C-437D35A322B7}"/>
                </c:ext>
              </c:extLst>
            </c:dLbl>
            <c:dLbl>
              <c:idx val="16"/>
              <c:spPr>
                <a:solidFill>
                  <a:sysClr val="window" lastClr="FFFFFF">
                    <a:alpha val="90000"/>
                  </a:sysClr>
                </a:solidFill>
                <a:ln w="12700" cap="flat" cmpd="sng" algn="ctr">
                  <a:solidFill>
                    <a:srgbClr val="ED7D31"/>
                  </a:solidFill>
                  <a:round/>
                </a:ln>
                <a:effectLst>
                  <a:outerShdw blurRad="50800" dist="38100" dir="2700000" algn="tl" rotWithShape="0">
                    <a:srgbClr val="ED7D31">
                      <a:lumMod val="75000"/>
                      <a:alpha val="40000"/>
                    </a:srgb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5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45-5589-44F4-9C7C-437D35A322B7}"/>
                </c:ext>
              </c:extLst>
            </c:dLbl>
            <c:dLbl>
              <c:idx val="17"/>
              <c:spPr>
                <a:solidFill>
                  <a:schemeClr val="lt1">
                    <a:alpha val="90000"/>
                  </a:schemeClr>
                </a:solidFill>
                <a:ln w="12700" cap="flat" cmpd="sng" algn="ctr">
                  <a:solidFill>
                    <a:schemeClr val="accent6">
                      <a:lumMod val="80000"/>
                      <a:lumOff val="20000"/>
                    </a:schemeClr>
                  </a:solidFill>
                  <a:round/>
                </a:ln>
                <a:effectLst>
                  <a:outerShdw blurRad="50800" dist="38100" dir="2700000" algn="tl" rotWithShape="0">
                    <a:schemeClr val="accent6">
                      <a:lumMod val="80000"/>
                      <a:lumOff val="20000"/>
                      <a:lumMod val="75000"/>
                      <a:alpha val="40000"/>
                    </a:schemeClr>
                  </a:outerShdw>
                </a:effectLst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baseline="0">
                      <a:solidFill>
                        <a:schemeClr val="accent6">
                          <a:lumMod val="80000"/>
                          <a:lumOff val="20000"/>
                        </a:schemeClr>
                      </a:solidFill>
                      <a:effectLst/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47-5589-44F4-9C7C-437D35A322B7}"/>
                </c:ext>
              </c:extLst>
            </c:dLbl>
            <c:spPr>
              <a:solidFill>
                <a:sysClr val="window" lastClr="FFFFFF">
                  <a:alpha val="90000"/>
                </a:sysClr>
              </a:solidFill>
              <a:ln w="12700" cap="flat" cmpd="sng" algn="ctr">
                <a:solidFill>
                  <a:srgbClr val="ED7D31"/>
                </a:solidFill>
                <a:round/>
              </a:ln>
              <a:effectLst>
                <a:outerShdw blurRad="50800" dist="38100" dir="2700000" algn="tl" rotWithShape="0">
                  <a:srgbClr val="ED7D31">
                    <a:lumMod val="75000"/>
                    <a:alpha val="40000"/>
                  </a:srgbClr>
                </a:outerShdw>
              </a:effectLst>
            </c:sp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'Efficacité par enclenchement'!$B$4:$B$21</c:f>
              <c:strCache>
                <c:ptCount val="18"/>
                <c:pt idx="0">
                  <c:v>Separation 34</c:v>
                </c:pt>
                <c:pt idx="1">
                  <c:v>YOUGO 34</c:v>
                </c:pt>
                <c:pt idx="2">
                  <c:v>METZ</c:v>
                </c:pt>
                <c:pt idx="3">
                  <c:v>YAGO</c:v>
                </c:pt>
                <c:pt idx="4">
                  <c:v>ALGE</c:v>
                </c:pt>
                <c:pt idx="5">
                  <c:v>AALBORG</c:v>
                </c:pt>
                <c:pt idx="6">
                  <c:v>YOUGO int int</c:v>
                </c:pt>
                <c:pt idx="7">
                  <c:v>ESPAGNOL</c:v>
                </c:pt>
                <c:pt idx="8">
                  <c:v>HONGROIS</c:v>
                </c:pt>
                <c:pt idx="9">
                  <c:v>PVT 12 ou 56 rentrée AL</c:v>
                </c:pt>
                <c:pt idx="10">
                  <c:v>YOUGO Glissé</c:v>
                </c:pt>
                <c:pt idx="11">
                  <c:v>PVT 12 PVT 12</c:v>
                </c:pt>
                <c:pt idx="12">
                  <c:v>W AL 12 ou 56</c:v>
                </c:pt>
                <c:pt idx="13">
                  <c:v>Autres</c:v>
                </c:pt>
                <c:pt idx="14">
                  <c:v>Gd croisé AR AR retour AL</c:v>
                </c:pt>
                <c:pt idx="17">
                  <c:v>ALGERIEN</c:v>
                </c:pt>
              </c:strCache>
            </c:strRef>
          </c:cat>
          <c:val>
            <c:numRef>
              <c:f>'Efficacité par enclenchement'!$M$4:$M$21</c:f>
              <c:numCache>
                <c:formatCode>0.0</c:formatCode>
                <c:ptCount val="18"/>
                <c:pt idx="0">
                  <c:v>8</c:v>
                </c:pt>
                <c:pt idx="1">
                  <c:v>1</c:v>
                </c:pt>
                <c:pt idx="2">
                  <c:v>2.75</c:v>
                </c:pt>
                <c:pt idx="3">
                  <c:v>5.75</c:v>
                </c:pt>
                <c:pt idx="4">
                  <c:v>0.25</c:v>
                </c:pt>
                <c:pt idx="5">
                  <c:v>0.25</c:v>
                </c:pt>
                <c:pt idx="6">
                  <c:v>5.5</c:v>
                </c:pt>
                <c:pt idx="7">
                  <c:v>4.25</c:v>
                </c:pt>
                <c:pt idx="8">
                  <c:v>0.25</c:v>
                </c:pt>
                <c:pt idx="9">
                  <c:v>0.25</c:v>
                </c:pt>
                <c:pt idx="10">
                  <c:v>3.75</c:v>
                </c:pt>
                <c:pt idx="11">
                  <c:v>0.25</c:v>
                </c:pt>
                <c:pt idx="12">
                  <c:v>5.75</c:v>
                </c:pt>
                <c:pt idx="13">
                  <c:v>0.25</c:v>
                </c:pt>
                <c:pt idx="1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8B2-4E4C-AB63-FF654070853B}"/>
            </c:ext>
          </c:extLst>
        </c:ser>
        <c:dLbls>
          <c:dLblPos val="inEnd"/>
          <c:showLegendKey val="0"/>
          <c:showVal val="0"/>
          <c:showCatName val="1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301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63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587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>
      <cs:styleClr val="auto"/>
    </cs:lnRef>
    <cs:fillRef idx="0"/>
    <cs:effectRef idx="0">
      <cs:styleClr val="auto"/>
    </cs:effectRef>
    <cs:fontRef idx="minor">
      <cs:styleClr val="auto"/>
    </cs:fontRef>
    <cs:spPr>
      <a:solidFill>
        <a:schemeClr val="lt1">
          <a:alpha val="90000"/>
        </a:schemeClr>
      </a:solidFill>
      <a:ln w="12700" cap="flat" cmpd="sng" algn="ctr">
        <a:solidFill>
          <a:schemeClr val="phClr"/>
        </a:solidFill>
        <a:round/>
      </a:ln>
      <a:effectLst>
        <a:outerShdw blurRad="50800" dist="38100" dir="2700000" algn="tl" rotWithShape="0">
          <a:schemeClr val="phClr">
            <a:lumMod val="75000"/>
            <a:alpha val="40000"/>
          </a:schemeClr>
        </a:outerShdw>
      </a:effectLst>
    </cs:spPr>
    <cs:defRPr sz="1000" b="0" i="0" u="none" strike="noStrike" kern="1200" baseline="0">
      <a:effectLst/>
    </cs:defRPr>
    <cs:bodyPr rot="0" spcFirstLastPara="1" vertOverflow="clip" horzOverflow="clip" vert="horz" wrap="square" lIns="38100" tIns="19050" rIns="38100" bIns="19050" anchor="ctr" anchorCtr="1">
      <a:spAutoFit/>
    </cs:bodyPr>
  </cs:dataLabel>
  <cs:dataLabelCallout>
    <cs:lnRef idx="0">
      <cs:styleClr val="auto"/>
    </cs:lnRef>
    <cs:fillRef idx="0"/>
    <cs:effectRef idx="0">
      <cs:styleClr val="auto"/>
    </cs:effectRef>
    <cs:fontRef idx="minor">
      <cs:styleClr val="auto"/>
    </cs:fontRef>
    <cs:spPr>
      <a:solidFill>
        <a:schemeClr val="lt1">
          <a:alpha val="90000"/>
        </a:schemeClr>
      </a:solidFill>
      <a:ln w="12700" cap="flat" cmpd="sng" algn="ctr">
        <a:solidFill>
          <a:schemeClr val="phClr"/>
        </a:solidFill>
        <a:round/>
      </a:ln>
      <a:effectLst>
        <a:outerShdw blurRad="50800" dist="38100" dir="2700000" algn="tl" rotWithShape="0">
          <a:schemeClr val="phClr">
            <a:lumMod val="75000"/>
            <a:alpha val="40000"/>
          </a:schemeClr>
        </a:outerShdw>
      </a:effectLst>
    </cs:spPr>
    <cs:defRPr sz="1000" b="0" i="0" u="none" strike="noStrike" kern="1200" baseline="0">
      <a:effectLst/>
    </cs:defRPr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>
          <a:alpha val="70000"/>
        </a:schemeClr>
      </a:solidFill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tx1"/>
    </cs:fontRef>
    <cs:spPr>
      <a:solidFill>
        <a:schemeClr val="phClr">
          <a:alpha val="90000"/>
        </a:schemeClr>
      </a:solidFill>
      <a:ln w="19050">
        <a:solidFill>
          <a:schemeClr val="phClr">
            <a:lumMod val="75000"/>
          </a:schemeClr>
        </a:solidFill>
      </a:ln>
      <a:effectLst>
        <a:innerShdw blurRad="114300">
          <a:schemeClr val="phClr">
            <a:lumMod val="75000"/>
          </a:schemeClr>
        </a:innerShdw>
      </a:effectLst>
      <a:scene3d>
        <a:camera prst="orthographicFront"/>
        <a:lightRig rig="threePt" dir="t"/>
      </a:scene3d>
      <a:sp3d contourW="19050" prstMaterial="flat">
        <a:contourClr>
          <a:schemeClr val="accent4">
            <a:lumMod val="75000"/>
          </a:schemeClr>
        </a:contourClr>
      </a:sp3d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587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2" Type="http://schemas.openxmlformats.org/officeDocument/2006/relationships/image" Target="../media/image1.jpg"/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7" Type="http://schemas.openxmlformats.org/officeDocument/2006/relationships/chart" Target="../charts/chart8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https://de.vecteezy.com/vektorkunst/1814839-perspektive-ansicht-halbfeld-fur-handball-orange-umriss-von-linien-handball-feld-vektor-illustration" TargetMode="External"/><Relationship Id="rId1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1333500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4FE84D17-2B31-4F83-A6CE-3E2A59300D04}"/>
            </a:ext>
          </a:extLst>
        </xdr:cNvPr>
        <xdr:cNvSpPr/>
      </xdr:nvSpPr>
      <xdr:spPr>
        <a:xfrm>
          <a:off x="812004" y="2590292"/>
          <a:ext cx="20454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Haby S.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326BB0C6-5D6C-4204-9BE2-41ED3BE19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37E9C92C-0079-498A-B0D5-807BE64E75EC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FA33D765-CD56-40AA-B5E6-86DE75523561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A7750169-C5EF-4C21-A5E9-6A05F91B8040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D988107D-DB2D-467B-A0C9-4C52744DFF88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459BD66C-D1EE-48EF-8637-A3F155713845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E9B93D6D-C932-424B-9DEE-6FAE61822497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63F124E4-7554-43C6-AB78-7E379F260508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C799058C-11DF-43E0-B0C1-46ED48DC9077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E0D51797-DCD3-4078-A888-03FEA88E0451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4CB54754-AA0D-44A4-B393-1E047ED8DDC5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974C4B82-198A-4DB1-B6B3-D79E1DBBF08F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F2F4F05F-C42C-4B9A-A2E6-B3A2B7432E6A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F5C2AF2F-D8B3-48D5-A5BF-966FA27E81AD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21C8E178-5BF8-4E3C-9061-8995332673FF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B3FB70C0-95F0-4757-A980-D3121385C88F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058D7573-8B22-4497-B4EC-2ED9F88E6C29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3561DD7C-2FF4-4F04-B5D5-EF30213A2EE8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F153FFD4-694E-4DC3-BED5-C34E738FC14D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68F28D5A-2F94-4A93-91D0-0BAA5F123CF9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50FD8230-1A3A-40FC-8EEA-91B6681C67D8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0F139F6E-0BB7-4719-9A00-3192EA046A38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C49B2310-7ECB-4092-AD14-8716A19AB034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9A3ADABD-84B2-4BDC-B1E1-B40A517C8478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73C76ECD-AC18-47C7-ADFE-62F86CB8BEE5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41A49C59-F0DC-46D3-8FF8-7655CF6F6A89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5E445F19-B8BB-420C-A393-EADB8A87320B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B43682AB-1304-4A26-913B-B6792A189B26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5C2F1EC6-C2C6-4F7B-B560-8826D1E84390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84AC54AE-934C-4D9D-923E-06333E145E9C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37703015-7813-4ACE-BB61-58BA67DF157C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8D2F6514-141E-4105-9F6E-E8953327B94D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097A4ACC-AD58-4D66-B6D4-7C3B5F399BB6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947B88F5-3EB1-49B0-9412-126ABC302FA0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2292E7BF-1802-40AE-A0F2-AD812DF89413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DA091FF5-B345-40CD-9D69-E7B903F32BDE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D46B831C-C6D8-4CC3-94C1-2461B1D25C85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12700</xdr:colOff>
      <xdr:row>0</xdr:row>
      <xdr:rowOff>76200</xdr:rowOff>
    </xdr:from>
    <xdr:to>
      <xdr:col>2</xdr:col>
      <xdr:colOff>1371600</xdr:colOff>
      <xdr:row>13</xdr:row>
      <xdr:rowOff>22443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D1E3A081-C629-43CF-8228-F9D4E63A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4700" y="76200"/>
          <a:ext cx="2120900" cy="2346543"/>
        </a:xfrm>
        <a:prstGeom prst="rect">
          <a:avLst/>
        </a:prstGeom>
      </xdr:spPr>
    </xdr:pic>
    <xdr:clientData/>
  </xdr:twoCellAnchor>
  <xdr:twoCellAnchor>
    <xdr:from>
      <xdr:col>8</xdr:col>
      <xdr:colOff>500380</xdr:colOff>
      <xdr:row>39</xdr:row>
      <xdr:rowOff>45720</xdr:rowOff>
    </xdr:from>
    <xdr:to>
      <xdr:col>8</xdr:col>
      <xdr:colOff>779780</xdr:colOff>
      <xdr:row>40</xdr:row>
      <xdr:rowOff>124460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D128A5A9-5535-4C54-97D6-2C765C7A8436}"/>
            </a:ext>
          </a:extLst>
        </xdr:cNvPr>
        <xdr:cNvSpPr/>
      </xdr:nvSpPr>
      <xdr:spPr>
        <a:xfrm>
          <a:off x="7345680" y="7265670"/>
          <a:ext cx="2603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769620</xdr:colOff>
      <xdr:row>35</xdr:row>
      <xdr:rowOff>101600</xdr:rowOff>
    </xdr:from>
    <xdr:to>
      <xdr:col>8</xdr:col>
      <xdr:colOff>220980</xdr:colOff>
      <xdr:row>36</xdr:row>
      <xdr:rowOff>180340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06FCD304-A904-4357-AEE2-7DE58D261CE4}"/>
            </a:ext>
          </a:extLst>
        </xdr:cNvPr>
        <xdr:cNvSpPr/>
      </xdr:nvSpPr>
      <xdr:spPr>
        <a:xfrm>
          <a:off x="6846570" y="657860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734060</xdr:colOff>
      <xdr:row>32</xdr:row>
      <xdr:rowOff>160020</xdr:rowOff>
    </xdr:from>
    <xdr:to>
      <xdr:col>7</xdr:col>
      <xdr:colOff>185420</xdr:colOff>
      <xdr:row>34</xdr:row>
      <xdr:rowOff>50800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0BF1EC3D-BA33-4707-BB69-56CCD72D11C5}"/>
            </a:ext>
          </a:extLst>
        </xdr:cNvPr>
        <xdr:cNvSpPr/>
      </xdr:nvSpPr>
      <xdr:spPr>
        <a:xfrm>
          <a:off x="6055360" y="60782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31</xdr:row>
      <xdr:rowOff>182880</xdr:rowOff>
    </xdr:from>
    <xdr:to>
      <xdr:col>5</xdr:col>
      <xdr:colOff>292100</xdr:colOff>
      <xdr:row>33</xdr:row>
      <xdr:rowOff>73660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972C4070-326E-47EA-8AE1-C87AD92FFB58}"/>
            </a:ext>
          </a:extLst>
        </xdr:cNvPr>
        <xdr:cNvSpPr/>
      </xdr:nvSpPr>
      <xdr:spPr>
        <a:xfrm>
          <a:off x="4572000" y="591693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30480</xdr:colOff>
      <xdr:row>32</xdr:row>
      <xdr:rowOff>185420</xdr:rowOff>
    </xdr:from>
    <xdr:to>
      <xdr:col>3</xdr:col>
      <xdr:colOff>309880</xdr:colOff>
      <xdr:row>34</xdr:row>
      <xdr:rowOff>76200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B2B148DF-2C54-4A8F-8E52-4610E12B3A43}"/>
            </a:ext>
          </a:extLst>
        </xdr:cNvPr>
        <xdr:cNvSpPr/>
      </xdr:nvSpPr>
      <xdr:spPr>
        <a:xfrm>
          <a:off x="3065780" y="610362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812800</xdr:colOff>
      <xdr:row>35</xdr:row>
      <xdr:rowOff>101600</xdr:rowOff>
    </xdr:from>
    <xdr:to>
      <xdr:col>2</xdr:col>
      <xdr:colOff>1092200</xdr:colOff>
      <xdr:row>36</xdr:row>
      <xdr:rowOff>180340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E0952222-A9BA-4CD0-BD71-09BB0EE3A016}"/>
            </a:ext>
          </a:extLst>
        </xdr:cNvPr>
        <xdr:cNvSpPr/>
      </xdr:nvSpPr>
      <xdr:spPr>
        <a:xfrm>
          <a:off x="2336800" y="65786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317500</xdr:colOff>
      <xdr:row>39</xdr:row>
      <xdr:rowOff>45720</xdr:rowOff>
    </xdr:from>
    <xdr:to>
      <xdr:col>2</xdr:col>
      <xdr:colOff>596900</xdr:colOff>
      <xdr:row>40</xdr:row>
      <xdr:rowOff>124460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29AC6C3A-484E-43EF-A1B2-4204D625CD93}"/>
            </a:ext>
          </a:extLst>
        </xdr:cNvPr>
        <xdr:cNvSpPr/>
      </xdr:nvSpPr>
      <xdr:spPr>
        <a:xfrm>
          <a:off x="1841500" y="72656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1447800</xdr:colOff>
      <xdr:row>29</xdr:row>
      <xdr:rowOff>127000</xdr:rowOff>
    </xdr:from>
    <xdr:to>
      <xdr:col>3</xdr:col>
      <xdr:colOff>81280</xdr:colOff>
      <xdr:row>31</xdr:row>
      <xdr:rowOff>15240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74500A23-9A29-44AD-B9AE-A7BDB5B88893}"/>
            </a:ext>
          </a:extLst>
        </xdr:cNvPr>
        <xdr:cNvSpPr/>
      </xdr:nvSpPr>
      <xdr:spPr>
        <a:xfrm>
          <a:off x="2971800" y="5492750"/>
          <a:ext cx="14478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1143000</xdr:colOff>
      <xdr:row>26</xdr:row>
      <xdr:rowOff>30480</xdr:rowOff>
    </xdr:from>
    <xdr:to>
      <xdr:col>2</xdr:col>
      <xdr:colOff>1422400</xdr:colOff>
      <xdr:row>27</xdr:row>
      <xdr:rowOff>109220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6AA32D3D-847E-402A-A52B-D08439CD2D24}"/>
            </a:ext>
          </a:extLst>
        </xdr:cNvPr>
        <xdr:cNvSpPr/>
      </xdr:nvSpPr>
      <xdr:spPr>
        <a:xfrm>
          <a:off x="2667000" y="48437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25400</xdr:colOff>
      <xdr:row>24</xdr:row>
      <xdr:rowOff>152400</xdr:rowOff>
    </xdr:from>
    <xdr:to>
      <xdr:col>5</xdr:col>
      <xdr:colOff>304800</xdr:colOff>
      <xdr:row>26</xdr:row>
      <xdr:rowOff>43180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24E684FE-D616-4B0E-BBEA-3EFFDA507DB6}"/>
            </a:ext>
          </a:extLst>
        </xdr:cNvPr>
        <xdr:cNvSpPr/>
      </xdr:nvSpPr>
      <xdr:spPr>
        <a:xfrm>
          <a:off x="4584700" y="45974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541020</xdr:colOff>
      <xdr:row>26</xdr:row>
      <xdr:rowOff>81280</xdr:rowOff>
    </xdr:from>
    <xdr:to>
      <xdr:col>7</xdr:col>
      <xdr:colOff>817880</xdr:colOff>
      <xdr:row>27</xdr:row>
      <xdr:rowOff>160020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50DF1ACC-0109-4821-BC82-49DF49553EDE}"/>
            </a:ext>
          </a:extLst>
        </xdr:cNvPr>
        <xdr:cNvSpPr/>
      </xdr:nvSpPr>
      <xdr:spPr>
        <a:xfrm>
          <a:off x="6624320" y="489458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248920</xdr:colOff>
      <xdr:row>29</xdr:row>
      <xdr:rowOff>101600</xdr:rowOff>
    </xdr:from>
    <xdr:to>
      <xdr:col>7</xdr:col>
      <xdr:colOff>528320</xdr:colOff>
      <xdr:row>30</xdr:row>
      <xdr:rowOff>180340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F18CF6CA-6EE8-48E6-98C6-92E36EC24258}"/>
            </a:ext>
          </a:extLst>
        </xdr:cNvPr>
        <xdr:cNvSpPr/>
      </xdr:nvSpPr>
      <xdr:spPr>
        <a:xfrm>
          <a:off x="6332220" y="546735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28</xdr:row>
      <xdr:rowOff>60960</xdr:rowOff>
    </xdr:from>
    <xdr:to>
      <xdr:col>5</xdr:col>
      <xdr:colOff>266700</xdr:colOff>
      <xdr:row>29</xdr:row>
      <xdr:rowOff>139700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B8EAEC2B-9737-4E4A-A3F0-5FD03A5AC6EA}"/>
            </a:ext>
          </a:extLst>
        </xdr:cNvPr>
        <xdr:cNvSpPr/>
      </xdr:nvSpPr>
      <xdr:spPr>
        <a:xfrm>
          <a:off x="4559300" y="5242560"/>
          <a:ext cx="2667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734060</xdr:colOff>
      <xdr:row>25</xdr:row>
      <xdr:rowOff>114300</xdr:rowOff>
    </xdr:from>
    <xdr:to>
      <xdr:col>10</xdr:col>
      <xdr:colOff>187960</xdr:colOff>
      <xdr:row>27</xdr:row>
      <xdr:rowOff>2540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91078838-2796-4164-93A5-D54216F0A79B}"/>
            </a:ext>
          </a:extLst>
        </xdr:cNvPr>
        <xdr:cNvSpPr/>
      </xdr:nvSpPr>
      <xdr:spPr>
        <a:xfrm>
          <a:off x="8341360" y="4743450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673100</xdr:colOff>
      <xdr:row>21</xdr:row>
      <xdr:rowOff>177800</xdr:rowOff>
    </xdr:from>
    <xdr:to>
      <xdr:col>10</xdr:col>
      <xdr:colOff>280961</xdr:colOff>
      <xdr:row>23</xdr:row>
      <xdr:rowOff>95391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0326FD7D-F2E6-4F70-855C-B07C837A7595}"/>
            </a:ext>
          </a:extLst>
        </xdr:cNvPr>
        <xdr:cNvSpPr txBox="1"/>
      </xdr:nvSpPr>
      <xdr:spPr>
        <a:xfrm>
          <a:off x="8280400" y="40640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682923</xdr:colOff>
      <xdr:row>23</xdr:row>
      <xdr:rowOff>154340</xdr:rowOff>
    </xdr:from>
    <xdr:to>
      <xdr:col>10</xdr:col>
      <xdr:colOff>319061</xdr:colOff>
      <xdr:row>25</xdr:row>
      <xdr:rowOff>24271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8DFB324E-24AE-4982-909E-EE7FCB609580}"/>
            </a:ext>
          </a:extLst>
        </xdr:cNvPr>
        <xdr:cNvSpPr txBox="1"/>
      </xdr:nvSpPr>
      <xdr:spPr>
        <a:xfrm>
          <a:off x="8290223" y="44151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821793</xdr:colOff>
      <xdr:row>47</xdr:row>
      <xdr:rowOff>87356</xdr:rowOff>
    </xdr:from>
    <xdr:to>
      <xdr:col>7</xdr:col>
      <xdr:colOff>275693</xdr:colOff>
      <xdr:row>48</xdr:row>
      <xdr:rowOff>166096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1679BE96-72F6-4AD2-89C1-AE5BBA1FF0CA}"/>
            </a:ext>
          </a:extLst>
        </xdr:cNvPr>
        <xdr:cNvSpPr/>
      </xdr:nvSpPr>
      <xdr:spPr>
        <a:xfrm>
          <a:off x="6085943" y="8799556"/>
          <a:ext cx="2730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727813</xdr:colOff>
      <xdr:row>47</xdr:row>
      <xdr:rowOff>87356</xdr:rowOff>
    </xdr:from>
    <xdr:to>
      <xdr:col>4</xdr:col>
      <xdr:colOff>181713</xdr:colOff>
      <xdr:row>48</xdr:row>
      <xdr:rowOff>166096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F31B9238-88CE-4F08-AC1B-78F20AD159BA}"/>
            </a:ext>
          </a:extLst>
        </xdr:cNvPr>
        <xdr:cNvSpPr/>
      </xdr:nvSpPr>
      <xdr:spPr>
        <a:xfrm>
          <a:off x="3763113" y="87995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359990</xdr:colOff>
      <xdr:row>22</xdr:row>
      <xdr:rowOff>0</xdr:rowOff>
    </xdr:from>
    <xdr:to>
      <xdr:col>11</xdr:col>
      <xdr:colOff>145971</xdr:colOff>
      <xdr:row>23</xdr:row>
      <xdr:rowOff>107402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DD926586-3CDA-4A52-B445-5B79E8BA35D7}"/>
            </a:ext>
          </a:extLst>
        </xdr:cNvPr>
        <xdr:cNvSpPr txBox="1"/>
      </xdr:nvSpPr>
      <xdr:spPr>
        <a:xfrm>
          <a:off x="8729290" y="4076700"/>
          <a:ext cx="547981" cy="291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355600</xdr:colOff>
      <xdr:row>23</xdr:row>
      <xdr:rowOff>150047</xdr:rowOff>
    </xdr:from>
    <xdr:to>
      <xdr:col>11</xdr:col>
      <xdr:colOff>537946</xdr:colOff>
      <xdr:row>25</xdr:row>
      <xdr:rowOff>87018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9193D06D-CDB3-4C5C-83B3-6AAD90E47232}"/>
            </a:ext>
          </a:extLst>
        </xdr:cNvPr>
        <xdr:cNvSpPr txBox="1"/>
      </xdr:nvSpPr>
      <xdr:spPr>
        <a:xfrm>
          <a:off x="8724900" y="44108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355600</xdr:colOff>
      <xdr:row>25</xdr:row>
      <xdr:rowOff>113986</xdr:rowOff>
    </xdr:from>
    <xdr:to>
      <xdr:col>11</xdr:col>
      <xdr:colOff>459551</xdr:colOff>
      <xdr:row>27</xdr:row>
      <xdr:rowOff>66636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2C428A19-E87D-468D-A5A1-CECEF97DA001}"/>
            </a:ext>
          </a:extLst>
        </xdr:cNvPr>
        <xdr:cNvSpPr txBox="1"/>
      </xdr:nvSpPr>
      <xdr:spPr>
        <a:xfrm>
          <a:off x="8724900" y="47431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1320800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D7EF48F-E382-4EB0-B127-C8C734DBA490}"/>
            </a:ext>
          </a:extLst>
        </xdr:cNvPr>
        <xdr:cNvSpPr/>
      </xdr:nvSpPr>
      <xdr:spPr>
        <a:xfrm>
          <a:off x="812004" y="2590292"/>
          <a:ext cx="20327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Mathilde M.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2F437C0B-FEAD-488D-83B7-A1A1BA73E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41832C72-DD78-4D69-B9BF-8FE6ECA10ECC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411AFFEA-D903-4287-BA69-8A26123052BC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BA5584C6-9EFB-48D0-9B24-A0BB43BF6FF9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A289AF42-C7BD-45E4-8FE6-79B4F3566430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90252C1D-F015-463E-92A4-3E950D78C388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79C00011-90F2-4BD2-B1BE-D2848487C569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8C782BF6-3FEE-44C3-92FA-6D43E3E34184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FA6BAC9A-96A2-4EC3-AB99-B6914D97749C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E6F964CA-F5EB-4AC9-82A0-DB9D47E58061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23537329-EB10-4099-B33D-E63C7727BA2A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9E6488EE-C269-4D4E-B91F-298B4CDAA706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84A99ED0-2D52-4880-862D-C67B0FC56DFB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62B32452-84CD-4C6E-96C0-BC914E78653A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B6EDDCC5-0C1E-4344-821C-F6447F2B59B6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0E1E1E7A-4B12-4311-A253-79E53468AEFF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96786C96-A691-4332-946F-D2C411FBC3AA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4C09C1AF-7486-4CE9-A5FB-A8523215EFAD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50%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792EB7FD-66EE-4689-AA7F-EE94B632614E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50%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508B3C9E-ECF3-4458-97BA-B84DA3239E8D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59DD31DA-B305-4C93-9809-BB5BF4FDCEE5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DEE315E0-68CC-4522-AF2C-70FCD506215C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93F8DEEA-7DE3-44FB-96C8-6A4B6557F602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16,7%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AB4D3794-E366-4E71-AE89-1D550E8B5B3B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7693CC86-7791-4B28-843B-D40A11DB04BD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33,3%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1347B8BD-724E-4A12-B6F6-6CD6F2BE8B7A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33,3%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23ED29F3-1970-48C6-8D24-4D92472F9AE2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CB54CCB2-5795-4121-A237-6FAA06B0ADB7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7D7C6268-DBFB-4DA5-AEA8-FDC8C7C1CCB0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16,7%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8B4A421A-B1F7-486D-B2CB-05210F832C8C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522EFBCD-51C5-4221-A445-04FF9C3D5A6E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D4E7B2D1-56E6-42C7-9485-B6D672FCCE40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657B89C9-B7B3-4885-9C2E-E8530CEA6A00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4E1FBE1D-1459-4C73-8077-EAFFF5B8CFFA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961F59D2-715E-4610-B0A2-C438650F6286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2010DE76-57E5-4AE3-94FC-302710CC779C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E4EDD781-10B6-493F-99F8-D7C8737BB0E5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38100</xdr:colOff>
      <xdr:row>1</xdr:row>
      <xdr:rowOff>12700</xdr:rowOff>
    </xdr:from>
    <xdr:to>
      <xdr:col>2</xdr:col>
      <xdr:colOff>1346200</xdr:colOff>
      <xdr:row>13</xdr:row>
      <xdr:rowOff>92805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80BE23C0-3CFE-407B-9F9B-5AF90852A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0100" y="196850"/>
          <a:ext cx="2070100" cy="2296255"/>
        </a:xfrm>
        <a:prstGeom prst="rect">
          <a:avLst/>
        </a:prstGeom>
      </xdr:spPr>
    </xdr:pic>
    <xdr:clientData/>
  </xdr:twoCellAnchor>
  <xdr:twoCellAnchor>
    <xdr:from>
      <xdr:col>8</xdr:col>
      <xdr:colOff>500380</xdr:colOff>
      <xdr:row>39</xdr:row>
      <xdr:rowOff>7620</xdr:rowOff>
    </xdr:from>
    <xdr:to>
      <xdr:col>8</xdr:col>
      <xdr:colOff>779780</xdr:colOff>
      <xdr:row>40</xdr:row>
      <xdr:rowOff>86360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45780087-A6D4-45A0-A4A0-1E062263C534}"/>
            </a:ext>
          </a:extLst>
        </xdr:cNvPr>
        <xdr:cNvSpPr/>
      </xdr:nvSpPr>
      <xdr:spPr>
        <a:xfrm>
          <a:off x="7345680" y="7227570"/>
          <a:ext cx="2603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769620</xdr:colOff>
      <xdr:row>35</xdr:row>
      <xdr:rowOff>63500</xdr:rowOff>
    </xdr:from>
    <xdr:to>
      <xdr:col>8</xdr:col>
      <xdr:colOff>220980</xdr:colOff>
      <xdr:row>36</xdr:row>
      <xdr:rowOff>142240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B2701614-A997-48E7-8B9D-9C34665315E9}"/>
            </a:ext>
          </a:extLst>
        </xdr:cNvPr>
        <xdr:cNvSpPr/>
      </xdr:nvSpPr>
      <xdr:spPr>
        <a:xfrm>
          <a:off x="6846570" y="654050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734060</xdr:colOff>
      <xdr:row>32</xdr:row>
      <xdr:rowOff>121920</xdr:rowOff>
    </xdr:from>
    <xdr:to>
      <xdr:col>7</xdr:col>
      <xdr:colOff>185420</xdr:colOff>
      <xdr:row>34</xdr:row>
      <xdr:rowOff>12700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0CCBD0AA-35E6-406A-8138-8146D97812DB}"/>
            </a:ext>
          </a:extLst>
        </xdr:cNvPr>
        <xdr:cNvSpPr/>
      </xdr:nvSpPr>
      <xdr:spPr>
        <a:xfrm>
          <a:off x="6055360" y="60401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31</xdr:row>
      <xdr:rowOff>144780</xdr:rowOff>
    </xdr:from>
    <xdr:to>
      <xdr:col>5</xdr:col>
      <xdr:colOff>292100</xdr:colOff>
      <xdr:row>33</xdr:row>
      <xdr:rowOff>35560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114E66AA-0D32-4C5B-9014-C37E1355AB4C}"/>
            </a:ext>
          </a:extLst>
        </xdr:cNvPr>
        <xdr:cNvSpPr/>
      </xdr:nvSpPr>
      <xdr:spPr>
        <a:xfrm>
          <a:off x="4572000" y="587883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30480</xdr:colOff>
      <xdr:row>32</xdr:row>
      <xdr:rowOff>147320</xdr:rowOff>
    </xdr:from>
    <xdr:to>
      <xdr:col>3</xdr:col>
      <xdr:colOff>309880</xdr:colOff>
      <xdr:row>34</xdr:row>
      <xdr:rowOff>38100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11ABAFF7-0D88-4E9D-A7AD-F7EBCC0695AC}"/>
            </a:ext>
          </a:extLst>
        </xdr:cNvPr>
        <xdr:cNvSpPr/>
      </xdr:nvSpPr>
      <xdr:spPr>
        <a:xfrm>
          <a:off x="3065780" y="606552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812800</xdr:colOff>
      <xdr:row>35</xdr:row>
      <xdr:rowOff>63500</xdr:rowOff>
    </xdr:from>
    <xdr:to>
      <xdr:col>2</xdr:col>
      <xdr:colOff>1092200</xdr:colOff>
      <xdr:row>36</xdr:row>
      <xdr:rowOff>142240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0BBF18FC-047C-49EC-9E32-5E6124356F5B}"/>
            </a:ext>
          </a:extLst>
        </xdr:cNvPr>
        <xdr:cNvSpPr/>
      </xdr:nvSpPr>
      <xdr:spPr>
        <a:xfrm>
          <a:off x="2336800" y="65405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317500</xdr:colOff>
      <xdr:row>39</xdr:row>
      <xdr:rowOff>7620</xdr:rowOff>
    </xdr:from>
    <xdr:to>
      <xdr:col>2</xdr:col>
      <xdr:colOff>596900</xdr:colOff>
      <xdr:row>40</xdr:row>
      <xdr:rowOff>86360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194BA6A8-DD3A-44B4-B982-200936F24F0B}"/>
            </a:ext>
          </a:extLst>
        </xdr:cNvPr>
        <xdr:cNvSpPr/>
      </xdr:nvSpPr>
      <xdr:spPr>
        <a:xfrm>
          <a:off x="1841500" y="72275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1447800</xdr:colOff>
      <xdr:row>29</xdr:row>
      <xdr:rowOff>88900</xdr:rowOff>
    </xdr:from>
    <xdr:to>
      <xdr:col>3</xdr:col>
      <xdr:colOff>81280</xdr:colOff>
      <xdr:row>30</xdr:row>
      <xdr:rowOff>167640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C2E763B9-67B1-4DDC-9899-B6773B05B0D2}"/>
            </a:ext>
          </a:extLst>
        </xdr:cNvPr>
        <xdr:cNvSpPr/>
      </xdr:nvSpPr>
      <xdr:spPr>
        <a:xfrm>
          <a:off x="2971800" y="5454650"/>
          <a:ext cx="14478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1143000</xdr:colOff>
      <xdr:row>25</xdr:row>
      <xdr:rowOff>182880</xdr:rowOff>
    </xdr:from>
    <xdr:to>
      <xdr:col>2</xdr:col>
      <xdr:colOff>1422400</xdr:colOff>
      <xdr:row>27</xdr:row>
      <xdr:rowOff>71120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249CD366-813D-451F-8CF3-C96F6908F7EB}"/>
            </a:ext>
          </a:extLst>
        </xdr:cNvPr>
        <xdr:cNvSpPr/>
      </xdr:nvSpPr>
      <xdr:spPr>
        <a:xfrm>
          <a:off x="2667000" y="4812030"/>
          <a:ext cx="2794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25400</xdr:colOff>
      <xdr:row>24</xdr:row>
      <xdr:rowOff>114300</xdr:rowOff>
    </xdr:from>
    <xdr:to>
      <xdr:col>5</xdr:col>
      <xdr:colOff>304800</xdr:colOff>
      <xdr:row>26</xdr:row>
      <xdr:rowOff>5080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D7E0F556-FFEB-44B1-9FA7-8EB9B692DDC0}"/>
            </a:ext>
          </a:extLst>
        </xdr:cNvPr>
        <xdr:cNvSpPr/>
      </xdr:nvSpPr>
      <xdr:spPr>
        <a:xfrm>
          <a:off x="4584700" y="45593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541020</xdr:colOff>
      <xdr:row>26</xdr:row>
      <xdr:rowOff>43180</xdr:rowOff>
    </xdr:from>
    <xdr:to>
      <xdr:col>7</xdr:col>
      <xdr:colOff>817880</xdr:colOff>
      <xdr:row>27</xdr:row>
      <xdr:rowOff>121920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90D6E00C-4F98-4BC7-9D27-805A201F981D}"/>
            </a:ext>
          </a:extLst>
        </xdr:cNvPr>
        <xdr:cNvSpPr/>
      </xdr:nvSpPr>
      <xdr:spPr>
        <a:xfrm>
          <a:off x="6624320" y="485648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248920</xdr:colOff>
      <xdr:row>29</xdr:row>
      <xdr:rowOff>63500</xdr:rowOff>
    </xdr:from>
    <xdr:to>
      <xdr:col>7</xdr:col>
      <xdr:colOff>528320</xdr:colOff>
      <xdr:row>30</xdr:row>
      <xdr:rowOff>142240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628F043C-8A0E-4495-ADCD-43EFB9672E62}"/>
            </a:ext>
          </a:extLst>
        </xdr:cNvPr>
        <xdr:cNvSpPr/>
      </xdr:nvSpPr>
      <xdr:spPr>
        <a:xfrm>
          <a:off x="6332220" y="542925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28</xdr:row>
      <xdr:rowOff>22860</xdr:rowOff>
    </xdr:from>
    <xdr:to>
      <xdr:col>5</xdr:col>
      <xdr:colOff>266700</xdr:colOff>
      <xdr:row>29</xdr:row>
      <xdr:rowOff>101600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2F83090A-A77E-4F4A-A21C-114D3DDA8084}"/>
            </a:ext>
          </a:extLst>
        </xdr:cNvPr>
        <xdr:cNvSpPr/>
      </xdr:nvSpPr>
      <xdr:spPr>
        <a:xfrm>
          <a:off x="4559300" y="5204460"/>
          <a:ext cx="2667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734060</xdr:colOff>
      <xdr:row>25</xdr:row>
      <xdr:rowOff>76200</xdr:rowOff>
    </xdr:from>
    <xdr:to>
      <xdr:col>10</xdr:col>
      <xdr:colOff>187960</xdr:colOff>
      <xdr:row>26</xdr:row>
      <xdr:rowOff>154940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2D48BF0A-9BA5-4C94-A9CB-8E8701767ACE}"/>
            </a:ext>
          </a:extLst>
        </xdr:cNvPr>
        <xdr:cNvSpPr/>
      </xdr:nvSpPr>
      <xdr:spPr>
        <a:xfrm>
          <a:off x="8341360" y="4705350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673100</xdr:colOff>
      <xdr:row>21</xdr:row>
      <xdr:rowOff>139700</xdr:rowOff>
    </xdr:from>
    <xdr:to>
      <xdr:col>10</xdr:col>
      <xdr:colOff>280961</xdr:colOff>
      <xdr:row>23</xdr:row>
      <xdr:rowOff>57291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D087B92D-4BF0-45C8-BFBA-1175F63490E9}"/>
            </a:ext>
          </a:extLst>
        </xdr:cNvPr>
        <xdr:cNvSpPr txBox="1"/>
      </xdr:nvSpPr>
      <xdr:spPr>
        <a:xfrm>
          <a:off x="8280400" y="40259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682923</xdr:colOff>
      <xdr:row>23</xdr:row>
      <xdr:rowOff>116240</xdr:rowOff>
    </xdr:from>
    <xdr:to>
      <xdr:col>10</xdr:col>
      <xdr:colOff>319061</xdr:colOff>
      <xdr:row>24</xdr:row>
      <xdr:rowOff>176671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4716CB8D-FA50-4388-8E9E-90F391BB34A2}"/>
            </a:ext>
          </a:extLst>
        </xdr:cNvPr>
        <xdr:cNvSpPr txBox="1"/>
      </xdr:nvSpPr>
      <xdr:spPr>
        <a:xfrm>
          <a:off x="8290223" y="4377090"/>
          <a:ext cx="398138" cy="24458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821793</xdr:colOff>
      <xdr:row>47</xdr:row>
      <xdr:rowOff>49256</xdr:rowOff>
    </xdr:from>
    <xdr:to>
      <xdr:col>7</xdr:col>
      <xdr:colOff>275693</xdr:colOff>
      <xdr:row>48</xdr:row>
      <xdr:rowOff>127996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FFBC93F9-F868-408D-9275-026B5E7EEA36}"/>
            </a:ext>
          </a:extLst>
        </xdr:cNvPr>
        <xdr:cNvSpPr/>
      </xdr:nvSpPr>
      <xdr:spPr>
        <a:xfrm>
          <a:off x="6085943" y="8761456"/>
          <a:ext cx="2730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727813</xdr:colOff>
      <xdr:row>47</xdr:row>
      <xdr:rowOff>49256</xdr:rowOff>
    </xdr:from>
    <xdr:to>
      <xdr:col>4</xdr:col>
      <xdr:colOff>181713</xdr:colOff>
      <xdr:row>48</xdr:row>
      <xdr:rowOff>127996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40E4BFAC-DCA7-4BAA-B202-47E4340C2035}"/>
            </a:ext>
          </a:extLst>
        </xdr:cNvPr>
        <xdr:cNvSpPr/>
      </xdr:nvSpPr>
      <xdr:spPr>
        <a:xfrm>
          <a:off x="3763113" y="87614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347290</xdr:colOff>
      <xdr:row>21</xdr:row>
      <xdr:rowOff>165100</xdr:rowOff>
    </xdr:from>
    <xdr:to>
      <xdr:col>11</xdr:col>
      <xdr:colOff>133271</xdr:colOff>
      <xdr:row>23</xdr:row>
      <xdr:rowOff>69302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029CA2C1-1797-450E-86AF-A53F37E98D56}"/>
            </a:ext>
          </a:extLst>
        </xdr:cNvPr>
        <xdr:cNvSpPr txBox="1"/>
      </xdr:nvSpPr>
      <xdr:spPr>
        <a:xfrm>
          <a:off x="8716590" y="4051300"/>
          <a:ext cx="547981" cy="2788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342900</xdr:colOff>
      <xdr:row>23</xdr:row>
      <xdr:rowOff>111947</xdr:rowOff>
    </xdr:from>
    <xdr:to>
      <xdr:col>11</xdr:col>
      <xdr:colOff>525246</xdr:colOff>
      <xdr:row>25</xdr:row>
      <xdr:rowOff>48918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0A7EE29E-14CB-43B8-90F5-A3AC873F58FA}"/>
            </a:ext>
          </a:extLst>
        </xdr:cNvPr>
        <xdr:cNvSpPr txBox="1"/>
      </xdr:nvSpPr>
      <xdr:spPr>
        <a:xfrm>
          <a:off x="8712200" y="43727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342900</xdr:colOff>
      <xdr:row>25</xdr:row>
      <xdr:rowOff>75886</xdr:rowOff>
    </xdr:from>
    <xdr:to>
      <xdr:col>11</xdr:col>
      <xdr:colOff>446851</xdr:colOff>
      <xdr:row>27</xdr:row>
      <xdr:rowOff>28536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E7D4B420-2AE2-4A4D-9BAB-9E6D87F47640}"/>
            </a:ext>
          </a:extLst>
        </xdr:cNvPr>
        <xdr:cNvSpPr txBox="1"/>
      </xdr:nvSpPr>
      <xdr:spPr>
        <a:xfrm>
          <a:off x="8712200" y="47050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1139266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086C419-E10C-4AB9-A29E-891AEB631E15}"/>
            </a:ext>
          </a:extLst>
        </xdr:cNvPr>
        <xdr:cNvSpPr/>
      </xdr:nvSpPr>
      <xdr:spPr>
        <a:xfrm>
          <a:off x="812004" y="2590292"/>
          <a:ext cx="1851262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Maelys</a:t>
          </a:r>
          <a:r>
            <a:rPr lang="fr-FR" sz="2800" b="1" baseline="0"/>
            <a:t> K.</a:t>
          </a:r>
          <a:endParaRPr lang="fr-FR" sz="2800" b="1"/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D484118-F70D-4D17-AD87-AF1009BE9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5C98B280-080F-4C46-ADA0-B252F1B8F928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6334C19B-CCAA-4EFF-8B3A-74DBB9FA9883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DE668E6E-5992-443A-AEB4-52F10F2E7B52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EDD8E344-BC61-4A1A-A358-A93181B3EE02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5E9D2658-F8FA-450C-B5CE-1F3C8A379944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23B0EEAD-243D-4E33-A01C-20C0539F130A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09BE5DA5-36F9-4C0F-B6FF-0AC27A41D27F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43B1A541-920E-4D42-8074-CDACF6D1C50C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50F6940B-B8F0-43D3-AFEA-3882E00C5BD8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85631203-F4DD-460A-8E53-506A35FF32DA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CCC1DEAC-BF19-41DD-85B2-69A0F391D136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59EE3111-34A1-4D0A-88DC-0A7C1850FFA3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335BDE2E-FE8C-442E-8317-884F36618060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A192727E-B688-4EC2-AEFB-3DD69C479D12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E42011FB-E5BF-4F87-9572-45F53411A745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7722681E-4286-426B-B1AE-D02C418054EC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380308D1-8146-48CF-80CB-DCC01C3CAC09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A86789BF-21F4-4F99-92D5-7517454DF212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FBFE6E19-21EC-4FB9-A2CC-7BEB6FF9DBF1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A4DAFF11-9003-47B7-97B3-4DA389D4F26B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6A63292F-E522-4FB9-A13F-B17430007AC7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AD4851AD-2F88-4A01-80A2-CA2A5908F151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6947FCB4-7CF9-4DBB-871C-24DE15B79CE8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50,0%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D5F90DFE-6192-4028-8113-7A0257144226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50,0%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6D97D6AA-D08F-4383-9C3F-1260D469848D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AC7EE6C3-1ECF-49AC-9CB6-5C1CA9DD1E35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585A7879-D23F-4A11-8514-456770EB0BB1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8E3179FD-A26A-430D-96E3-89382ECC0035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90E65964-435E-4ED1-A419-7E0AD384DB8B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35C345CC-F92A-4A0B-9169-7509096DD0A0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1DFE4C33-CC32-46D2-A618-C5BC54597540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D899B7B7-AF01-4010-8ADF-876D69C0A41A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3432A567-BC9B-41A3-A4F4-525851AF6576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3001D953-C4D0-489C-9894-A3194C1B889D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212259B2-AA09-40FC-AD0C-87884931CAEF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91E155EF-CCDF-4C73-B870-0A04BB2D6B12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12700</xdr:colOff>
      <xdr:row>1</xdr:row>
      <xdr:rowOff>152400</xdr:rowOff>
    </xdr:from>
    <xdr:to>
      <xdr:col>2</xdr:col>
      <xdr:colOff>1155700</xdr:colOff>
      <xdr:row>13</xdr:row>
      <xdr:rowOff>48431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8F0E796D-791C-4153-B4BA-D2A6A2706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4700" y="336550"/>
          <a:ext cx="1905000" cy="2112181"/>
        </a:xfrm>
        <a:prstGeom prst="rect">
          <a:avLst/>
        </a:prstGeom>
      </xdr:spPr>
    </xdr:pic>
    <xdr:clientData/>
  </xdr:twoCellAnchor>
  <xdr:twoCellAnchor>
    <xdr:from>
      <xdr:col>8</xdr:col>
      <xdr:colOff>500380</xdr:colOff>
      <xdr:row>39</xdr:row>
      <xdr:rowOff>58420</xdr:rowOff>
    </xdr:from>
    <xdr:to>
      <xdr:col>8</xdr:col>
      <xdr:colOff>779780</xdr:colOff>
      <xdr:row>40</xdr:row>
      <xdr:rowOff>137160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B3D07AC9-C2F0-4614-91EB-C83BFA7FEB43}"/>
            </a:ext>
          </a:extLst>
        </xdr:cNvPr>
        <xdr:cNvSpPr/>
      </xdr:nvSpPr>
      <xdr:spPr>
        <a:xfrm>
          <a:off x="7345680" y="7278370"/>
          <a:ext cx="2603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769620</xdr:colOff>
      <xdr:row>35</xdr:row>
      <xdr:rowOff>114300</xdr:rowOff>
    </xdr:from>
    <xdr:to>
      <xdr:col>8</xdr:col>
      <xdr:colOff>220980</xdr:colOff>
      <xdr:row>36</xdr:row>
      <xdr:rowOff>193040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24DEEC8A-DC81-432B-BF10-490A17C23F4F}"/>
            </a:ext>
          </a:extLst>
        </xdr:cNvPr>
        <xdr:cNvSpPr/>
      </xdr:nvSpPr>
      <xdr:spPr>
        <a:xfrm>
          <a:off x="6846570" y="659130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734060</xdr:colOff>
      <xdr:row>32</xdr:row>
      <xdr:rowOff>172720</xdr:rowOff>
    </xdr:from>
    <xdr:to>
      <xdr:col>7</xdr:col>
      <xdr:colOff>185420</xdr:colOff>
      <xdr:row>34</xdr:row>
      <xdr:rowOff>63500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0E87137E-595D-4C6B-AEFB-BCF06923F0A2}"/>
            </a:ext>
          </a:extLst>
        </xdr:cNvPr>
        <xdr:cNvSpPr/>
      </xdr:nvSpPr>
      <xdr:spPr>
        <a:xfrm>
          <a:off x="6055360" y="60909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32</xdr:row>
      <xdr:rowOff>5080</xdr:rowOff>
    </xdr:from>
    <xdr:to>
      <xdr:col>5</xdr:col>
      <xdr:colOff>292100</xdr:colOff>
      <xdr:row>33</xdr:row>
      <xdr:rowOff>86360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1E6DE87F-1BAC-479B-807E-C817D25A5FF6}"/>
            </a:ext>
          </a:extLst>
        </xdr:cNvPr>
        <xdr:cNvSpPr/>
      </xdr:nvSpPr>
      <xdr:spPr>
        <a:xfrm>
          <a:off x="4572000" y="592328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30480</xdr:colOff>
      <xdr:row>33</xdr:row>
      <xdr:rowOff>7620</xdr:rowOff>
    </xdr:from>
    <xdr:to>
      <xdr:col>3</xdr:col>
      <xdr:colOff>309880</xdr:colOff>
      <xdr:row>34</xdr:row>
      <xdr:rowOff>88900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AE1F7176-A62C-49AF-98DC-0C30CA943D75}"/>
            </a:ext>
          </a:extLst>
        </xdr:cNvPr>
        <xdr:cNvSpPr/>
      </xdr:nvSpPr>
      <xdr:spPr>
        <a:xfrm>
          <a:off x="3065780" y="610997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812800</xdr:colOff>
      <xdr:row>35</xdr:row>
      <xdr:rowOff>114300</xdr:rowOff>
    </xdr:from>
    <xdr:to>
      <xdr:col>2</xdr:col>
      <xdr:colOff>1092200</xdr:colOff>
      <xdr:row>36</xdr:row>
      <xdr:rowOff>193040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55CC2C54-6A70-4885-8E4E-8994B82BEA8D}"/>
            </a:ext>
          </a:extLst>
        </xdr:cNvPr>
        <xdr:cNvSpPr/>
      </xdr:nvSpPr>
      <xdr:spPr>
        <a:xfrm>
          <a:off x="2336800" y="65913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317500</xdr:colOff>
      <xdr:row>39</xdr:row>
      <xdr:rowOff>58420</xdr:rowOff>
    </xdr:from>
    <xdr:to>
      <xdr:col>2</xdr:col>
      <xdr:colOff>596900</xdr:colOff>
      <xdr:row>40</xdr:row>
      <xdr:rowOff>137160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865C8CAE-1B39-494E-A605-D943D2391E02}"/>
            </a:ext>
          </a:extLst>
        </xdr:cNvPr>
        <xdr:cNvSpPr/>
      </xdr:nvSpPr>
      <xdr:spPr>
        <a:xfrm>
          <a:off x="1841500" y="72783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1447800</xdr:colOff>
      <xdr:row>29</xdr:row>
      <xdr:rowOff>139700</xdr:rowOff>
    </xdr:from>
    <xdr:to>
      <xdr:col>3</xdr:col>
      <xdr:colOff>81280</xdr:colOff>
      <xdr:row>31</xdr:row>
      <xdr:rowOff>27940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0EE34413-7E93-4B0A-81AE-3F463D5CF292}"/>
            </a:ext>
          </a:extLst>
        </xdr:cNvPr>
        <xdr:cNvSpPr/>
      </xdr:nvSpPr>
      <xdr:spPr>
        <a:xfrm>
          <a:off x="2971800" y="5505450"/>
          <a:ext cx="14478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1143000</xdr:colOff>
      <xdr:row>26</xdr:row>
      <xdr:rowOff>43180</xdr:rowOff>
    </xdr:from>
    <xdr:to>
      <xdr:col>2</xdr:col>
      <xdr:colOff>1422400</xdr:colOff>
      <xdr:row>27</xdr:row>
      <xdr:rowOff>121920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F6368BD7-7AB2-432F-AAA1-543A866328FD}"/>
            </a:ext>
          </a:extLst>
        </xdr:cNvPr>
        <xdr:cNvSpPr/>
      </xdr:nvSpPr>
      <xdr:spPr>
        <a:xfrm>
          <a:off x="2667000" y="48564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25400</xdr:colOff>
      <xdr:row>24</xdr:row>
      <xdr:rowOff>165100</xdr:rowOff>
    </xdr:from>
    <xdr:to>
      <xdr:col>5</xdr:col>
      <xdr:colOff>304800</xdr:colOff>
      <xdr:row>26</xdr:row>
      <xdr:rowOff>55880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8A390A9B-D37B-4760-B917-AFBEB899D4B1}"/>
            </a:ext>
          </a:extLst>
        </xdr:cNvPr>
        <xdr:cNvSpPr/>
      </xdr:nvSpPr>
      <xdr:spPr>
        <a:xfrm>
          <a:off x="4584700" y="46101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541020</xdr:colOff>
      <xdr:row>26</xdr:row>
      <xdr:rowOff>93980</xdr:rowOff>
    </xdr:from>
    <xdr:to>
      <xdr:col>7</xdr:col>
      <xdr:colOff>817880</xdr:colOff>
      <xdr:row>27</xdr:row>
      <xdr:rowOff>172720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2423EEC8-F950-45E3-B682-88B9DA58887B}"/>
            </a:ext>
          </a:extLst>
        </xdr:cNvPr>
        <xdr:cNvSpPr/>
      </xdr:nvSpPr>
      <xdr:spPr>
        <a:xfrm>
          <a:off x="6624320" y="490728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248920</xdr:colOff>
      <xdr:row>29</xdr:row>
      <xdr:rowOff>114300</xdr:rowOff>
    </xdr:from>
    <xdr:to>
      <xdr:col>7</xdr:col>
      <xdr:colOff>528320</xdr:colOff>
      <xdr:row>31</xdr:row>
      <xdr:rowOff>2540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F51B4D28-679E-4883-AEDB-C9643EA2B239}"/>
            </a:ext>
          </a:extLst>
        </xdr:cNvPr>
        <xdr:cNvSpPr/>
      </xdr:nvSpPr>
      <xdr:spPr>
        <a:xfrm>
          <a:off x="6332220" y="5480050"/>
          <a:ext cx="2794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28</xdr:row>
      <xdr:rowOff>73660</xdr:rowOff>
    </xdr:from>
    <xdr:to>
      <xdr:col>5</xdr:col>
      <xdr:colOff>266700</xdr:colOff>
      <xdr:row>29</xdr:row>
      <xdr:rowOff>152400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04CD1937-36C2-44BB-BA10-D7CD41E211CB}"/>
            </a:ext>
          </a:extLst>
        </xdr:cNvPr>
        <xdr:cNvSpPr/>
      </xdr:nvSpPr>
      <xdr:spPr>
        <a:xfrm>
          <a:off x="4559300" y="5255260"/>
          <a:ext cx="2667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734060</xdr:colOff>
      <xdr:row>25</xdr:row>
      <xdr:rowOff>127000</xdr:rowOff>
    </xdr:from>
    <xdr:to>
      <xdr:col>10</xdr:col>
      <xdr:colOff>187960</xdr:colOff>
      <xdr:row>27</xdr:row>
      <xdr:rowOff>15240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B89CA461-57ED-4868-BF59-1D95EBDFFE53}"/>
            </a:ext>
          </a:extLst>
        </xdr:cNvPr>
        <xdr:cNvSpPr/>
      </xdr:nvSpPr>
      <xdr:spPr>
        <a:xfrm>
          <a:off x="8341360" y="4756150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673100</xdr:colOff>
      <xdr:row>21</xdr:row>
      <xdr:rowOff>190500</xdr:rowOff>
    </xdr:from>
    <xdr:to>
      <xdr:col>10</xdr:col>
      <xdr:colOff>280961</xdr:colOff>
      <xdr:row>23</xdr:row>
      <xdr:rowOff>108091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EB87E92C-F9D9-42EC-B644-6A2A067EDA54}"/>
            </a:ext>
          </a:extLst>
        </xdr:cNvPr>
        <xdr:cNvSpPr txBox="1"/>
      </xdr:nvSpPr>
      <xdr:spPr>
        <a:xfrm>
          <a:off x="8280400" y="40767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682923</xdr:colOff>
      <xdr:row>23</xdr:row>
      <xdr:rowOff>167040</xdr:rowOff>
    </xdr:from>
    <xdr:to>
      <xdr:col>10</xdr:col>
      <xdr:colOff>319061</xdr:colOff>
      <xdr:row>25</xdr:row>
      <xdr:rowOff>36971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5B1F818E-D2C7-4F17-9FE4-72A05A1F0249}"/>
            </a:ext>
          </a:extLst>
        </xdr:cNvPr>
        <xdr:cNvSpPr txBox="1"/>
      </xdr:nvSpPr>
      <xdr:spPr>
        <a:xfrm>
          <a:off x="8290223" y="44278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821793</xdr:colOff>
      <xdr:row>47</xdr:row>
      <xdr:rowOff>100056</xdr:rowOff>
    </xdr:from>
    <xdr:to>
      <xdr:col>7</xdr:col>
      <xdr:colOff>275693</xdr:colOff>
      <xdr:row>48</xdr:row>
      <xdr:rowOff>178796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756D756E-5297-45A2-9FD8-37CFAFE7C04F}"/>
            </a:ext>
          </a:extLst>
        </xdr:cNvPr>
        <xdr:cNvSpPr/>
      </xdr:nvSpPr>
      <xdr:spPr>
        <a:xfrm>
          <a:off x="6085943" y="8812256"/>
          <a:ext cx="2730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727813</xdr:colOff>
      <xdr:row>47</xdr:row>
      <xdr:rowOff>100056</xdr:rowOff>
    </xdr:from>
    <xdr:to>
      <xdr:col>4</xdr:col>
      <xdr:colOff>181713</xdr:colOff>
      <xdr:row>48</xdr:row>
      <xdr:rowOff>178796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0C6DD809-CFAE-4619-939B-0E6653E2A939}"/>
            </a:ext>
          </a:extLst>
        </xdr:cNvPr>
        <xdr:cNvSpPr/>
      </xdr:nvSpPr>
      <xdr:spPr>
        <a:xfrm>
          <a:off x="3763113" y="88122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347290</xdr:colOff>
      <xdr:row>22</xdr:row>
      <xdr:rowOff>12700</xdr:rowOff>
    </xdr:from>
    <xdr:to>
      <xdr:col>11</xdr:col>
      <xdr:colOff>133271</xdr:colOff>
      <xdr:row>23</xdr:row>
      <xdr:rowOff>120102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C397B46A-5D4C-403C-B408-869510F6D653}"/>
            </a:ext>
          </a:extLst>
        </xdr:cNvPr>
        <xdr:cNvSpPr txBox="1"/>
      </xdr:nvSpPr>
      <xdr:spPr>
        <a:xfrm>
          <a:off x="8716590" y="4089400"/>
          <a:ext cx="547981" cy="291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342900</xdr:colOff>
      <xdr:row>23</xdr:row>
      <xdr:rowOff>162747</xdr:rowOff>
    </xdr:from>
    <xdr:to>
      <xdr:col>11</xdr:col>
      <xdr:colOff>525246</xdr:colOff>
      <xdr:row>25</xdr:row>
      <xdr:rowOff>99718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8D206ACE-B72E-4765-8F25-46203E5B5394}"/>
            </a:ext>
          </a:extLst>
        </xdr:cNvPr>
        <xdr:cNvSpPr txBox="1"/>
      </xdr:nvSpPr>
      <xdr:spPr>
        <a:xfrm>
          <a:off x="8712200" y="44235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342900</xdr:colOff>
      <xdr:row>25</xdr:row>
      <xdr:rowOff>126686</xdr:rowOff>
    </xdr:from>
    <xdr:to>
      <xdr:col>11</xdr:col>
      <xdr:colOff>446851</xdr:colOff>
      <xdr:row>27</xdr:row>
      <xdr:rowOff>79336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37802F88-9846-4028-942A-07FC12D94AF1}"/>
            </a:ext>
          </a:extLst>
        </xdr:cNvPr>
        <xdr:cNvSpPr txBox="1"/>
      </xdr:nvSpPr>
      <xdr:spPr>
        <a:xfrm>
          <a:off x="8712200" y="47558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1139266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818BDEA-9F4A-4889-82F9-FDFCC8FF4D33}"/>
            </a:ext>
          </a:extLst>
        </xdr:cNvPr>
        <xdr:cNvSpPr/>
      </xdr:nvSpPr>
      <xdr:spPr>
        <a:xfrm>
          <a:off x="812004" y="2590292"/>
          <a:ext cx="1851262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Maelle C.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375BAB7F-56CF-4A99-87E3-47F9621AB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7F1907B9-2C93-4DBC-A5B1-CA95D0C4FB05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33E22992-42E1-4EE9-99A6-24AC1B1E0F28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04A8B465-E8F5-4CAC-B380-3C48FCC0251B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2279692B-77C4-4036-B4C7-0DB6FE8EAE26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BB068AC0-FC70-40C3-9C8A-E19625F698C7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AABB15F8-D1B1-4788-8266-5634692CFDE6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099488C8-1735-41CC-BCE2-2EB676D5DC11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25%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40499E6C-0497-44FB-BBBA-E08056E9FAA4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8A42EC56-E0CC-4607-834A-81BD9D964AFC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C4162CFB-088D-4729-8755-D3B913DBA982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694614E0-696E-4860-B09C-2CAD26D4A3B2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0BF62E06-A539-4FD3-987C-7CBA2DEEFD32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B811160D-513D-448D-8094-3F993007BCCC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0DE16724-342C-4FDB-8B69-64F33BEF9024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8532341E-B32B-4D44-B798-EC8865DEE36D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40684E10-91E1-4ECF-9E08-64EA201AACB3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66B01A1C-B0D0-4783-BFE1-CAC32079EE5F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9F298DAF-9BD7-41A7-87C4-F72F216EAB5D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26B1490C-B83C-4901-AF35-05AF7219E224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E8FFA98F-694C-4EB3-ADA5-9D4BDCEFB8C7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7B831A65-5067-4DF4-83C2-DA90B8DEAC3B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53E3E8FC-341B-403D-9131-561023B2BB82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C0C5CF87-E921-43C0-B1E1-BEA32CE57703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8631A3D2-CCAF-49B3-A5EF-C32B50D0DB5E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005529B9-BEDA-4D6F-8778-CB6B75C76AFA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378E9C1B-914D-4251-9ECB-3AFB9EBC8CE5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75,0%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AB18400A-B1F1-4828-8FDA-A0C66D863247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8B08D154-CB66-4FBA-9A6E-E0D0D1B242F0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1E44116F-E3BC-4EA0-971B-54F4178B8360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329AD481-B72B-486E-B47B-9591A033FABF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E2E30BC7-D0A8-4A1E-BF8B-00E4606A159A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6ADE0724-D793-499F-9866-BF8960CE2103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B552257F-CBF0-4838-90BC-0D9184E9D04C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CE6D3B59-1627-4A51-94B2-5EB762E31773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CA5443EF-40AE-4F33-87EC-23AE63A11E74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ED1DEFAB-8BB3-4C38-A620-4B7E469057CF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0</xdr:colOff>
      <xdr:row>1</xdr:row>
      <xdr:rowOff>105834</xdr:rowOff>
    </xdr:from>
    <xdr:to>
      <xdr:col>2</xdr:col>
      <xdr:colOff>1179286</xdr:colOff>
      <xdr:row>12</xdr:row>
      <xdr:rowOff>173040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99B3DC3C-FCE1-48F0-B969-BD5951433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9984"/>
          <a:ext cx="1941286" cy="2099206"/>
        </a:xfrm>
        <a:prstGeom prst="rect">
          <a:avLst/>
        </a:prstGeom>
      </xdr:spPr>
    </xdr:pic>
    <xdr:clientData/>
  </xdr:twoCellAnchor>
  <xdr:twoCellAnchor>
    <xdr:from>
      <xdr:col>8</xdr:col>
      <xdr:colOff>500380</xdr:colOff>
      <xdr:row>39</xdr:row>
      <xdr:rowOff>58420</xdr:rowOff>
    </xdr:from>
    <xdr:to>
      <xdr:col>8</xdr:col>
      <xdr:colOff>779780</xdr:colOff>
      <xdr:row>40</xdr:row>
      <xdr:rowOff>137160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DBE1042B-ACB4-40C2-8EDF-9C4D1BFA62F6}"/>
            </a:ext>
          </a:extLst>
        </xdr:cNvPr>
        <xdr:cNvSpPr/>
      </xdr:nvSpPr>
      <xdr:spPr>
        <a:xfrm>
          <a:off x="7345680" y="7278370"/>
          <a:ext cx="2603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769620</xdr:colOff>
      <xdr:row>35</xdr:row>
      <xdr:rowOff>114300</xdr:rowOff>
    </xdr:from>
    <xdr:to>
      <xdr:col>8</xdr:col>
      <xdr:colOff>220980</xdr:colOff>
      <xdr:row>36</xdr:row>
      <xdr:rowOff>193040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A608D2B9-B163-4F28-88F3-941D1F247345}"/>
            </a:ext>
          </a:extLst>
        </xdr:cNvPr>
        <xdr:cNvSpPr/>
      </xdr:nvSpPr>
      <xdr:spPr>
        <a:xfrm>
          <a:off x="6846570" y="659130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734060</xdr:colOff>
      <xdr:row>32</xdr:row>
      <xdr:rowOff>172720</xdr:rowOff>
    </xdr:from>
    <xdr:to>
      <xdr:col>7</xdr:col>
      <xdr:colOff>185420</xdr:colOff>
      <xdr:row>34</xdr:row>
      <xdr:rowOff>63500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75E4349D-425D-4C62-91E2-8BF5E81532E2}"/>
            </a:ext>
          </a:extLst>
        </xdr:cNvPr>
        <xdr:cNvSpPr/>
      </xdr:nvSpPr>
      <xdr:spPr>
        <a:xfrm>
          <a:off x="6055360" y="60909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32</xdr:row>
      <xdr:rowOff>5080</xdr:rowOff>
    </xdr:from>
    <xdr:to>
      <xdr:col>5</xdr:col>
      <xdr:colOff>292100</xdr:colOff>
      <xdr:row>33</xdr:row>
      <xdr:rowOff>86360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817814E1-AA42-4684-87AE-D250A612C3A5}"/>
            </a:ext>
          </a:extLst>
        </xdr:cNvPr>
        <xdr:cNvSpPr/>
      </xdr:nvSpPr>
      <xdr:spPr>
        <a:xfrm>
          <a:off x="4572000" y="592328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30480</xdr:colOff>
      <xdr:row>33</xdr:row>
      <xdr:rowOff>7620</xdr:rowOff>
    </xdr:from>
    <xdr:to>
      <xdr:col>3</xdr:col>
      <xdr:colOff>309880</xdr:colOff>
      <xdr:row>34</xdr:row>
      <xdr:rowOff>88900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2EB6A1E7-FF1A-48FD-9190-58BD476C5EB0}"/>
            </a:ext>
          </a:extLst>
        </xdr:cNvPr>
        <xdr:cNvSpPr/>
      </xdr:nvSpPr>
      <xdr:spPr>
        <a:xfrm>
          <a:off x="3065780" y="610997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812800</xdr:colOff>
      <xdr:row>35</xdr:row>
      <xdr:rowOff>114300</xdr:rowOff>
    </xdr:from>
    <xdr:to>
      <xdr:col>2</xdr:col>
      <xdr:colOff>1092200</xdr:colOff>
      <xdr:row>36</xdr:row>
      <xdr:rowOff>193040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735D707C-7488-4C1C-96A8-C07C40C5462E}"/>
            </a:ext>
          </a:extLst>
        </xdr:cNvPr>
        <xdr:cNvSpPr/>
      </xdr:nvSpPr>
      <xdr:spPr>
        <a:xfrm>
          <a:off x="2336800" y="65913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317500</xdr:colOff>
      <xdr:row>39</xdr:row>
      <xdr:rowOff>58420</xdr:rowOff>
    </xdr:from>
    <xdr:to>
      <xdr:col>2</xdr:col>
      <xdr:colOff>596900</xdr:colOff>
      <xdr:row>40</xdr:row>
      <xdr:rowOff>137160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C59244A8-8032-4B9E-97E6-E110997C51EC}"/>
            </a:ext>
          </a:extLst>
        </xdr:cNvPr>
        <xdr:cNvSpPr/>
      </xdr:nvSpPr>
      <xdr:spPr>
        <a:xfrm>
          <a:off x="1841500" y="72783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1447800</xdr:colOff>
      <xdr:row>29</xdr:row>
      <xdr:rowOff>139700</xdr:rowOff>
    </xdr:from>
    <xdr:to>
      <xdr:col>3</xdr:col>
      <xdr:colOff>81280</xdr:colOff>
      <xdr:row>31</xdr:row>
      <xdr:rowOff>27940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6EC50B18-A7DD-4D93-BD54-F2E72EE2BD6A}"/>
            </a:ext>
          </a:extLst>
        </xdr:cNvPr>
        <xdr:cNvSpPr/>
      </xdr:nvSpPr>
      <xdr:spPr>
        <a:xfrm>
          <a:off x="2971800" y="5505450"/>
          <a:ext cx="14478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1143000</xdr:colOff>
      <xdr:row>26</xdr:row>
      <xdr:rowOff>43180</xdr:rowOff>
    </xdr:from>
    <xdr:to>
      <xdr:col>2</xdr:col>
      <xdr:colOff>1422400</xdr:colOff>
      <xdr:row>27</xdr:row>
      <xdr:rowOff>121920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6109BA67-0F0B-4271-BA1D-647C8CBDDA6C}"/>
            </a:ext>
          </a:extLst>
        </xdr:cNvPr>
        <xdr:cNvSpPr/>
      </xdr:nvSpPr>
      <xdr:spPr>
        <a:xfrm>
          <a:off x="2667000" y="48564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25400</xdr:colOff>
      <xdr:row>24</xdr:row>
      <xdr:rowOff>165100</xdr:rowOff>
    </xdr:from>
    <xdr:to>
      <xdr:col>5</xdr:col>
      <xdr:colOff>304800</xdr:colOff>
      <xdr:row>26</xdr:row>
      <xdr:rowOff>55880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18E825B1-6697-4300-8B54-7C4C4ABE323A}"/>
            </a:ext>
          </a:extLst>
        </xdr:cNvPr>
        <xdr:cNvSpPr/>
      </xdr:nvSpPr>
      <xdr:spPr>
        <a:xfrm>
          <a:off x="4584700" y="46101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541020</xdr:colOff>
      <xdr:row>26</xdr:row>
      <xdr:rowOff>93980</xdr:rowOff>
    </xdr:from>
    <xdr:to>
      <xdr:col>7</xdr:col>
      <xdr:colOff>817880</xdr:colOff>
      <xdr:row>27</xdr:row>
      <xdr:rowOff>172720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B964DC2E-B027-4DF2-AE84-701C03AD5567}"/>
            </a:ext>
          </a:extLst>
        </xdr:cNvPr>
        <xdr:cNvSpPr/>
      </xdr:nvSpPr>
      <xdr:spPr>
        <a:xfrm>
          <a:off x="6624320" y="490728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248920</xdr:colOff>
      <xdr:row>29</xdr:row>
      <xdr:rowOff>114300</xdr:rowOff>
    </xdr:from>
    <xdr:to>
      <xdr:col>7</xdr:col>
      <xdr:colOff>528320</xdr:colOff>
      <xdr:row>31</xdr:row>
      <xdr:rowOff>2540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BAB9996F-5E4B-48FB-99C0-8B22E1587121}"/>
            </a:ext>
          </a:extLst>
        </xdr:cNvPr>
        <xdr:cNvSpPr/>
      </xdr:nvSpPr>
      <xdr:spPr>
        <a:xfrm>
          <a:off x="6332220" y="5480050"/>
          <a:ext cx="2794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28</xdr:row>
      <xdr:rowOff>73660</xdr:rowOff>
    </xdr:from>
    <xdr:to>
      <xdr:col>5</xdr:col>
      <xdr:colOff>266700</xdr:colOff>
      <xdr:row>29</xdr:row>
      <xdr:rowOff>152400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950FB089-E78B-4EF2-9178-9203E7C6B8F9}"/>
            </a:ext>
          </a:extLst>
        </xdr:cNvPr>
        <xdr:cNvSpPr/>
      </xdr:nvSpPr>
      <xdr:spPr>
        <a:xfrm>
          <a:off x="4559300" y="5255260"/>
          <a:ext cx="2667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734060</xdr:colOff>
      <xdr:row>25</xdr:row>
      <xdr:rowOff>127000</xdr:rowOff>
    </xdr:from>
    <xdr:to>
      <xdr:col>10</xdr:col>
      <xdr:colOff>187960</xdr:colOff>
      <xdr:row>27</xdr:row>
      <xdr:rowOff>15240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58098107-1E51-4AD4-AA38-8B173A864353}"/>
            </a:ext>
          </a:extLst>
        </xdr:cNvPr>
        <xdr:cNvSpPr/>
      </xdr:nvSpPr>
      <xdr:spPr>
        <a:xfrm>
          <a:off x="8341360" y="4756150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673100</xdr:colOff>
      <xdr:row>21</xdr:row>
      <xdr:rowOff>190500</xdr:rowOff>
    </xdr:from>
    <xdr:to>
      <xdr:col>10</xdr:col>
      <xdr:colOff>280961</xdr:colOff>
      <xdr:row>23</xdr:row>
      <xdr:rowOff>108091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EAAB55FA-4D35-4338-9B38-79EB0E0308C2}"/>
            </a:ext>
          </a:extLst>
        </xdr:cNvPr>
        <xdr:cNvSpPr txBox="1"/>
      </xdr:nvSpPr>
      <xdr:spPr>
        <a:xfrm>
          <a:off x="8280400" y="40767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682923</xdr:colOff>
      <xdr:row>23</xdr:row>
      <xdr:rowOff>167040</xdr:rowOff>
    </xdr:from>
    <xdr:to>
      <xdr:col>10</xdr:col>
      <xdr:colOff>319061</xdr:colOff>
      <xdr:row>25</xdr:row>
      <xdr:rowOff>36971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4D01BBA5-CDA5-4297-A366-E8D176D5F36A}"/>
            </a:ext>
          </a:extLst>
        </xdr:cNvPr>
        <xdr:cNvSpPr txBox="1"/>
      </xdr:nvSpPr>
      <xdr:spPr>
        <a:xfrm>
          <a:off x="8290223" y="44278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821793</xdr:colOff>
      <xdr:row>47</xdr:row>
      <xdr:rowOff>100056</xdr:rowOff>
    </xdr:from>
    <xdr:to>
      <xdr:col>7</xdr:col>
      <xdr:colOff>275693</xdr:colOff>
      <xdr:row>48</xdr:row>
      <xdr:rowOff>178796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1CD4F000-3DF5-4190-8581-A7A452453716}"/>
            </a:ext>
          </a:extLst>
        </xdr:cNvPr>
        <xdr:cNvSpPr/>
      </xdr:nvSpPr>
      <xdr:spPr>
        <a:xfrm>
          <a:off x="6085943" y="8812256"/>
          <a:ext cx="2730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727813</xdr:colOff>
      <xdr:row>47</xdr:row>
      <xdr:rowOff>100056</xdr:rowOff>
    </xdr:from>
    <xdr:to>
      <xdr:col>4</xdr:col>
      <xdr:colOff>181713</xdr:colOff>
      <xdr:row>48</xdr:row>
      <xdr:rowOff>178796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5827C964-A20A-4154-9114-A6BCFA5D4570}"/>
            </a:ext>
          </a:extLst>
        </xdr:cNvPr>
        <xdr:cNvSpPr/>
      </xdr:nvSpPr>
      <xdr:spPr>
        <a:xfrm>
          <a:off x="3763113" y="88122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347290</xdr:colOff>
      <xdr:row>22</xdr:row>
      <xdr:rowOff>25400</xdr:rowOff>
    </xdr:from>
    <xdr:to>
      <xdr:col>11</xdr:col>
      <xdr:colOff>133271</xdr:colOff>
      <xdr:row>23</xdr:row>
      <xdr:rowOff>132802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87CB015E-1070-4BAE-ACD4-60F16AEDCC5A}"/>
            </a:ext>
          </a:extLst>
        </xdr:cNvPr>
        <xdr:cNvSpPr txBox="1"/>
      </xdr:nvSpPr>
      <xdr:spPr>
        <a:xfrm>
          <a:off x="8716590" y="4102100"/>
          <a:ext cx="547981" cy="291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342900</xdr:colOff>
      <xdr:row>23</xdr:row>
      <xdr:rowOff>175447</xdr:rowOff>
    </xdr:from>
    <xdr:to>
      <xdr:col>11</xdr:col>
      <xdr:colOff>525246</xdr:colOff>
      <xdr:row>25</xdr:row>
      <xdr:rowOff>112418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585E0D37-4060-43A3-9843-8BAC4215D4AB}"/>
            </a:ext>
          </a:extLst>
        </xdr:cNvPr>
        <xdr:cNvSpPr txBox="1"/>
      </xdr:nvSpPr>
      <xdr:spPr>
        <a:xfrm>
          <a:off x="8712200" y="44362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342900</xdr:colOff>
      <xdr:row>25</xdr:row>
      <xdr:rowOff>139386</xdr:rowOff>
    </xdr:from>
    <xdr:to>
      <xdr:col>11</xdr:col>
      <xdr:colOff>446851</xdr:colOff>
      <xdr:row>27</xdr:row>
      <xdr:rowOff>92036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FEB656AA-A0A8-4F13-85D6-38ABB074887B}"/>
            </a:ext>
          </a:extLst>
        </xdr:cNvPr>
        <xdr:cNvSpPr txBox="1"/>
      </xdr:nvSpPr>
      <xdr:spPr>
        <a:xfrm>
          <a:off x="8712200" y="47685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1139266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B0D3622B-148A-4016-9D2E-B4D4B4329961}"/>
            </a:ext>
          </a:extLst>
        </xdr:cNvPr>
        <xdr:cNvSpPr/>
      </xdr:nvSpPr>
      <xdr:spPr>
        <a:xfrm>
          <a:off x="812004" y="2590292"/>
          <a:ext cx="1851262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Léa B.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7603FE3D-72A5-4362-86FC-BF860A5F6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306D8E0B-994D-45EE-9FC6-F87D01730760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8DBEAB9E-4205-445C-BEDD-780E750D4312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E18EFEB2-B346-440C-9EA9-3D357ABDBFE6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DA95A37E-7C3F-4797-B62D-2F3020BD1B1C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252A3361-653F-4F8C-89CF-BE7FDC8570AC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0576D88E-5832-4B74-A80B-1A29FA1162DE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C9662F81-08F5-49F1-9C65-D52B7E296B09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95CC9602-BD26-42DB-A659-FEAC143D807E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EBD9F98F-DE54-408D-861F-06CD534116F1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7797E8BD-638C-4A3A-9E6E-7F50C4637E84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8DDAA2B1-07F7-4B90-AD24-3279049A98B5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0%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FD2F146C-9AAD-4DE3-93B0-E20E25C85139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20E1D17F-20A5-4C67-850C-F711099848F2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2C2A1371-7914-4F48-A54F-A493A4298C19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1C13711E-C09B-4E40-B0FE-2A811C7C954C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41FAE5E3-5AF6-49FD-B9A2-675AB57FC4C3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9112E2F4-0F58-4397-A796-DF6A3C5D3271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D3565989-EEBB-48E9-AB08-CC6FCD8B0DEA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43C74C47-8AE3-4F35-BC8B-72D813463A67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F4C8F820-26F9-4A6E-8F09-D95A9D6BBEDB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30EA01CC-C51D-4F2D-BAEC-AEA584066C10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EE93F213-80FB-4467-B8EE-8736238EEC0D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44EA1F47-82CB-4E57-943C-C61DCBFD6477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573EBC55-E99E-46D8-808E-111092CDBF28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5DF0B0A4-AB77-44F6-9A26-D856FB6C5A0E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16F461A6-339E-4E30-8FD4-2BF43E08659C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10CA6F0D-38DC-4240-8DF2-BF175A908774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946ECD1B-F4FC-4F6A-AC2F-90A5EF3F80A4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DA904D0B-C2A3-4909-B3BF-F0FA29E12232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EFDCB14D-1475-4E5C-B127-125C71FDD6B0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83B36DAB-BB35-45CD-9F01-6E0485C58C00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6825CC6A-0585-4845-8E1A-F7AAA716AE8B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66E18F72-00BD-4419-979E-AB4D173FECCE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85188106-CBB0-476E-BFD5-19A330627F04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C7FD1A05-B358-4DC9-A9B2-B2E61D251C43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025865C4-90A1-4D4B-95C6-5C2855C94A0A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2</xdr:col>
      <xdr:colOff>1171466</xdr:colOff>
      <xdr:row>13</xdr:row>
      <xdr:rowOff>11474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A5551CC8-8812-4501-8DDB-3B01F1822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184150"/>
          <a:ext cx="1933466" cy="2227624"/>
        </a:xfrm>
        <a:prstGeom prst="rect">
          <a:avLst/>
        </a:prstGeom>
      </xdr:spPr>
    </xdr:pic>
    <xdr:clientData/>
  </xdr:twoCellAnchor>
  <xdr:twoCellAnchor>
    <xdr:from>
      <xdr:col>8</xdr:col>
      <xdr:colOff>473165</xdr:colOff>
      <xdr:row>39</xdr:row>
      <xdr:rowOff>8829</xdr:rowOff>
    </xdr:from>
    <xdr:to>
      <xdr:col>8</xdr:col>
      <xdr:colOff>752565</xdr:colOff>
      <xdr:row>40</xdr:row>
      <xdr:rowOff>81521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7DECB654-BA72-4D52-8760-DC5D21D6762B}"/>
            </a:ext>
          </a:extLst>
        </xdr:cNvPr>
        <xdr:cNvSpPr/>
      </xdr:nvSpPr>
      <xdr:spPr>
        <a:xfrm>
          <a:off x="7318465" y="7228779"/>
          <a:ext cx="279400" cy="256842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748453</xdr:colOff>
      <xdr:row>35</xdr:row>
      <xdr:rowOff>76199</xdr:rowOff>
    </xdr:from>
    <xdr:to>
      <xdr:col>8</xdr:col>
      <xdr:colOff>193765</xdr:colOff>
      <xdr:row>36</xdr:row>
      <xdr:rowOff>148892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914235B8-A158-41E1-AA98-86A055C1608A}"/>
            </a:ext>
          </a:extLst>
        </xdr:cNvPr>
        <xdr:cNvSpPr/>
      </xdr:nvSpPr>
      <xdr:spPr>
        <a:xfrm>
          <a:off x="6831753" y="6553199"/>
          <a:ext cx="207312" cy="25684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718941</xdr:colOff>
      <xdr:row>32</xdr:row>
      <xdr:rowOff>140062</xdr:rowOff>
    </xdr:from>
    <xdr:to>
      <xdr:col>7</xdr:col>
      <xdr:colOff>164253</xdr:colOff>
      <xdr:row>34</xdr:row>
      <xdr:rowOff>18747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DFA64446-801E-486D-9FEF-E4B12FF03E66}"/>
            </a:ext>
          </a:extLst>
        </xdr:cNvPr>
        <xdr:cNvSpPr/>
      </xdr:nvSpPr>
      <xdr:spPr>
        <a:xfrm>
          <a:off x="6040241" y="6058262"/>
          <a:ext cx="207312" cy="24698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3628</xdr:colOff>
      <xdr:row>31</xdr:row>
      <xdr:rowOff>168970</xdr:rowOff>
    </xdr:from>
    <xdr:to>
      <xdr:col>5</xdr:col>
      <xdr:colOff>283028</xdr:colOff>
      <xdr:row>33</xdr:row>
      <xdr:rowOff>47655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9AFE5683-5986-4851-A2C6-D56407E40348}"/>
            </a:ext>
          </a:extLst>
        </xdr:cNvPr>
        <xdr:cNvSpPr/>
      </xdr:nvSpPr>
      <xdr:spPr>
        <a:xfrm>
          <a:off x="4562928" y="5903020"/>
          <a:ext cx="279400" cy="24698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33504</xdr:colOff>
      <xdr:row>32</xdr:row>
      <xdr:rowOff>165462</xdr:rowOff>
    </xdr:from>
    <xdr:to>
      <xdr:col>3</xdr:col>
      <xdr:colOff>312904</xdr:colOff>
      <xdr:row>34</xdr:row>
      <xdr:rowOff>44147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D215FFF2-5859-481A-A085-EEB2BAFD707B}"/>
            </a:ext>
          </a:extLst>
        </xdr:cNvPr>
        <xdr:cNvSpPr/>
      </xdr:nvSpPr>
      <xdr:spPr>
        <a:xfrm>
          <a:off x="3068804" y="6083662"/>
          <a:ext cx="279400" cy="24698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812800</xdr:colOff>
      <xdr:row>35</xdr:row>
      <xdr:rowOff>76199</xdr:rowOff>
    </xdr:from>
    <xdr:to>
      <xdr:col>2</xdr:col>
      <xdr:colOff>1092200</xdr:colOff>
      <xdr:row>36</xdr:row>
      <xdr:rowOff>148892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0F3F6E18-0C68-463C-9958-229474A69F2A}"/>
            </a:ext>
          </a:extLst>
        </xdr:cNvPr>
        <xdr:cNvSpPr/>
      </xdr:nvSpPr>
      <xdr:spPr>
        <a:xfrm>
          <a:off x="2336800" y="6553199"/>
          <a:ext cx="279400" cy="25684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317500</xdr:colOff>
      <xdr:row>39</xdr:row>
      <xdr:rowOff>8829</xdr:rowOff>
    </xdr:from>
    <xdr:to>
      <xdr:col>2</xdr:col>
      <xdr:colOff>596900</xdr:colOff>
      <xdr:row>40</xdr:row>
      <xdr:rowOff>81521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8EC3DA1F-0D44-445D-805A-3CE7E32DA069}"/>
            </a:ext>
          </a:extLst>
        </xdr:cNvPr>
        <xdr:cNvSpPr/>
      </xdr:nvSpPr>
      <xdr:spPr>
        <a:xfrm>
          <a:off x="1841500" y="7228779"/>
          <a:ext cx="279400" cy="256842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1447800</xdr:colOff>
      <xdr:row>29</xdr:row>
      <xdr:rowOff>125185</xdr:rowOff>
    </xdr:from>
    <xdr:to>
      <xdr:col>3</xdr:col>
      <xdr:colOff>84304</xdr:colOff>
      <xdr:row>31</xdr:row>
      <xdr:rowOff>1330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2053CBA9-9D9D-411F-834E-933FB5FF2B2B}"/>
            </a:ext>
          </a:extLst>
        </xdr:cNvPr>
        <xdr:cNvSpPr/>
      </xdr:nvSpPr>
      <xdr:spPr>
        <a:xfrm>
          <a:off x="2971800" y="5490935"/>
          <a:ext cx="147804" cy="24444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1143000</xdr:colOff>
      <xdr:row>26</xdr:row>
      <xdr:rowOff>46808</xdr:rowOff>
    </xdr:from>
    <xdr:to>
      <xdr:col>2</xdr:col>
      <xdr:colOff>1422400</xdr:colOff>
      <xdr:row>27</xdr:row>
      <xdr:rowOff>119500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79648040-B57B-4942-B805-ED3E9E477FD7}"/>
            </a:ext>
          </a:extLst>
        </xdr:cNvPr>
        <xdr:cNvSpPr/>
      </xdr:nvSpPr>
      <xdr:spPr>
        <a:xfrm>
          <a:off x="2667000" y="4860108"/>
          <a:ext cx="279400" cy="256842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16328</xdr:colOff>
      <xdr:row>24</xdr:row>
      <xdr:rowOff>180823</xdr:rowOff>
    </xdr:from>
    <xdr:to>
      <xdr:col>5</xdr:col>
      <xdr:colOff>295728</xdr:colOff>
      <xdr:row>26</xdr:row>
      <xdr:rowOff>59508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095D1459-3332-4788-A572-35D69067171A}"/>
            </a:ext>
          </a:extLst>
        </xdr:cNvPr>
        <xdr:cNvSpPr/>
      </xdr:nvSpPr>
      <xdr:spPr>
        <a:xfrm>
          <a:off x="4575628" y="4625823"/>
          <a:ext cx="279400" cy="24698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519853</xdr:colOff>
      <xdr:row>26</xdr:row>
      <xdr:rowOff>97608</xdr:rowOff>
    </xdr:from>
    <xdr:to>
      <xdr:col>7</xdr:col>
      <xdr:colOff>796713</xdr:colOff>
      <xdr:row>27</xdr:row>
      <xdr:rowOff>170300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FD69D664-BD66-4FEF-BE4F-B47A560C5C76}"/>
            </a:ext>
          </a:extLst>
        </xdr:cNvPr>
        <xdr:cNvSpPr/>
      </xdr:nvSpPr>
      <xdr:spPr>
        <a:xfrm>
          <a:off x="6603153" y="4910908"/>
          <a:ext cx="245110" cy="256842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227753</xdr:colOff>
      <xdr:row>29</xdr:row>
      <xdr:rowOff>99785</xdr:rowOff>
    </xdr:from>
    <xdr:to>
      <xdr:col>7</xdr:col>
      <xdr:colOff>507153</xdr:colOff>
      <xdr:row>30</xdr:row>
      <xdr:rowOff>172477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2F62D19D-E8E4-40F1-8B44-DD746EC2EFBE}"/>
            </a:ext>
          </a:extLst>
        </xdr:cNvPr>
        <xdr:cNvSpPr/>
      </xdr:nvSpPr>
      <xdr:spPr>
        <a:xfrm>
          <a:off x="6311053" y="5465535"/>
          <a:ext cx="279400" cy="256842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809776</xdr:colOff>
      <xdr:row>28</xdr:row>
      <xdr:rowOff>65193</xdr:rowOff>
    </xdr:from>
    <xdr:to>
      <xdr:col>5</xdr:col>
      <xdr:colOff>257628</xdr:colOff>
      <xdr:row>29</xdr:row>
      <xdr:rowOff>137885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123BA25F-C0B8-42E4-8553-9C757B2D1CA6}"/>
            </a:ext>
          </a:extLst>
        </xdr:cNvPr>
        <xdr:cNvSpPr/>
      </xdr:nvSpPr>
      <xdr:spPr>
        <a:xfrm>
          <a:off x="4556276" y="5246793"/>
          <a:ext cx="260652" cy="256842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700798</xdr:colOff>
      <xdr:row>25</xdr:row>
      <xdr:rowOff>136676</xdr:rowOff>
    </xdr:from>
    <xdr:to>
      <xdr:col>10</xdr:col>
      <xdr:colOff>148650</xdr:colOff>
      <xdr:row>27</xdr:row>
      <xdr:rowOff>12820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BB73D740-8B7D-431D-A722-38E7DF815B37}"/>
            </a:ext>
          </a:extLst>
        </xdr:cNvPr>
        <xdr:cNvSpPr/>
      </xdr:nvSpPr>
      <xdr:spPr>
        <a:xfrm>
          <a:off x="8308098" y="4765826"/>
          <a:ext cx="209852" cy="244444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639838</xdr:colOff>
      <xdr:row>22</xdr:row>
      <xdr:rowOff>15118</xdr:rowOff>
    </xdr:from>
    <xdr:to>
      <xdr:col>10</xdr:col>
      <xdr:colOff>241651</xdr:colOff>
      <xdr:row>23</xdr:row>
      <xdr:rowOff>129862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3855EDF7-7E66-42CC-9D97-6789B66CC13E}"/>
            </a:ext>
          </a:extLst>
        </xdr:cNvPr>
        <xdr:cNvSpPr txBox="1"/>
      </xdr:nvSpPr>
      <xdr:spPr>
        <a:xfrm>
          <a:off x="8247138" y="4091818"/>
          <a:ext cx="363813" cy="29889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649661</xdr:colOff>
      <xdr:row>23</xdr:row>
      <xdr:rowOff>188811</xdr:rowOff>
    </xdr:from>
    <xdr:to>
      <xdr:col>10</xdr:col>
      <xdr:colOff>279751</xdr:colOff>
      <xdr:row>25</xdr:row>
      <xdr:rowOff>46647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ED2BC80E-64F9-4B37-987F-A643CCD317AE}"/>
            </a:ext>
          </a:extLst>
        </xdr:cNvPr>
        <xdr:cNvSpPr txBox="1"/>
      </xdr:nvSpPr>
      <xdr:spPr>
        <a:xfrm>
          <a:off x="8256961" y="4443311"/>
          <a:ext cx="392090" cy="23248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806674</xdr:colOff>
      <xdr:row>47</xdr:row>
      <xdr:rowOff>40184</xdr:rowOff>
    </xdr:from>
    <xdr:to>
      <xdr:col>7</xdr:col>
      <xdr:colOff>254526</xdr:colOff>
      <xdr:row>48</xdr:row>
      <xdr:rowOff>112876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BAEC2850-8FDB-4149-8CB6-B81A582FB4C6}"/>
            </a:ext>
          </a:extLst>
        </xdr:cNvPr>
        <xdr:cNvSpPr/>
      </xdr:nvSpPr>
      <xdr:spPr>
        <a:xfrm>
          <a:off x="6083524" y="8752384"/>
          <a:ext cx="254302" cy="256842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730837</xdr:colOff>
      <xdr:row>47</xdr:row>
      <xdr:rowOff>40184</xdr:rowOff>
    </xdr:from>
    <xdr:to>
      <xdr:col>4</xdr:col>
      <xdr:colOff>178689</xdr:colOff>
      <xdr:row>48</xdr:row>
      <xdr:rowOff>112876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F6C1BC56-206B-4746-A68E-50A2B6B021D1}"/>
            </a:ext>
          </a:extLst>
        </xdr:cNvPr>
        <xdr:cNvSpPr/>
      </xdr:nvSpPr>
      <xdr:spPr>
        <a:xfrm>
          <a:off x="3766137" y="8752384"/>
          <a:ext cx="209852" cy="256842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311395</xdr:colOff>
      <xdr:row>22</xdr:row>
      <xdr:rowOff>44562</xdr:rowOff>
    </xdr:from>
    <xdr:to>
      <xdr:col>11</xdr:col>
      <xdr:colOff>91329</xdr:colOff>
      <xdr:row>23</xdr:row>
      <xdr:rowOff>145917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5871A073-432E-45DE-B4B3-DC3D91E4324C}"/>
            </a:ext>
          </a:extLst>
        </xdr:cNvPr>
        <xdr:cNvSpPr txBox="1"/>
      </xdr:nvSpPr>
      <xdr:spPr>
        <a:xfrm>
          <a:off x="8680695" y="4121262"/>
          <a:ext cx="541934" cy="2855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307005</xdr:colOff>
      <xdr:row>23</xdr:row>
      <xdr:rowOff>188562</xdr:rowOff>
    </xdr:from>
    <xdr:to>
      <xdr:col>11</xdr:col>
      <xdr:colOff>483304</xdr:colOff>
      <xdr:row>25</xdr:row>
      <xdr:rowOff>113438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A49E7BAB-42BD-4511-8EC8-B3F89AFB4112}"/>
            </a:ext>
          </a:extLst>
        </xdr:cNvPr>
        <xdr:cNvSpPr txBox="1"/>
      </xdr:nvSpPr>
      <xdr:spPr>
        <a:xfrm>
          <a:off x="8676305" y="4443062"/>
          <a:ext cx="938299" cy="2995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307005</xdr:colOff>
      <xdr:row>25</xdr:row>
      <xdr:rowOff>140406</xdr:rowOff>
    </xdr:from>
    <xdr:to>
      <xdr:col>11</xdr:col>
      <xdr:colOff>404909</xdr:colOff>
      <xdr:row>27</xdr:row>
      <xdr:rowOff>80960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76504EEE-A989-47AF-9DFA-2CF514F97A3F}"/>
            </a:ext>
          </a:extLst>
        </xdr:cNvPr>
        <xdr:cNvSpPr txBox="1"/>
      </xdr:nvSpPr>
      <xdr:spPr>
        <a:xfrm>
          <a:off x="8676305" y="4769556"/>
          <a:ext cx="859904" cy="30885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1139266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C1B92C0-3164-4035-B05F-AE181C10D855}"/>
            </a:ext>
          </a:extLst>
        </xdr:cNvPr>
        <xdr:cNvSpPr/>
      </xdr:nvSpPr>
      <xdr:spPr>
        <a:xfrm>
          <a:off x="812004" y="2590292"/>
          <a:ext cx="1851262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Julie S.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30417553-75B1-447B-B2D7-D57E52240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0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FF8217DB-D365-4058-8514-AE3D3E1ED6C0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4CA71186-401E-45C3-94A3-1D86674BD23F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D6A8CE5C-3EA7-445E-91F1-543BAD9586B8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835B0A19-BCD6-40C8-8D81-EE67095CF22E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A805359E-D023-4B41-AE25-DC843F39C590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8645FD87-BB7E-4228-BAC8-690713C11828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50%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DD4C7800-2EF3-4959-941C-A8977398B333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ECE13032-630F-4137-8BCA-75BC85E0B111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DAEB2AE8-9075-4164-B5AE-CB8CBA6CEEEB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AEFF7994-5B85-430A-8AF4-48A4E0B95336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3389EFD5-74A8-47E7-8E70-B4B4C8AA6237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11EA1474-2738-42BB-A10D-87117F294538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8863A092-9721-4943-97D0-56BE2DE1D318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57295175-15A9-4C07-B984-6ECA8551FC57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823D26EE-D47A-4C70-A668-FD7FF7FC6171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EFFFE79F-AC57-4202-A127-EC2DD5FF5015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35ECF9BE-0E12-4C32-8D42-697068C71973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82B8339D-D46C-4596-AF35-80A77319C6DF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56922D7A-F8C2-4CEB-8C39-60EE0FFE6549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C3269DF6-ADA8-4E6D-8D04-9C5B9799264F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884558F8-B910-4A78-9C4C-DB8BD875B6DC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2C9400C6-A5A0-4AB9-9399-CB38625EA20B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880B93F5-30BE-4A6B-8810-DCC648844F5B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577501E9-B5D8-427B-A2BB-12A086EB7893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AE3F435E-A120-4B3B-A24A-C4EB36A43EBC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6BAC90FB-9DB6-449A-969C-AC98A1957D68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AF5A5FB7-5210-4036-A709-938B3B6FA4D4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48CD0F1C-2E9E-4963-BC9D-A74F9BF03449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719654F4-CA94-45E7-97FB-3C03ED86BD57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60,0%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91F1ED30-5540-4EF3-8418-200357BF8E21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8F88C2AD-43D8-4535-A743-D39B34642B86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C71AE212-15E7-4407-A944-6B495FCECCD5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74B6BD4F-83D6-476A-9BAD-E9A2C8A11ACC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882DCC63-82F7-4389-AF27-37304D1D1287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3E01C57D-1860-4BBB-B6BB-0BE3C138E47E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8F579590-0E0A-4731-9CFF-579C2A87897C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54740</xdr:colOff>
      <xdr:row>1</xdr:row>
      <xdr:rowOff>175172</xdr:rowOff>
    </xdr:from>
    <xdr:to>
      <xdr:col>2</xdr:col>
      <xdr:colOff>1128563</xdr:colOff>
      <xdr:row>13</xdr:row>
      <xdr:rowOff>54741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C2905D52-01BB-49FE-AF50-5B468269B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6740" y="359322"/>
          <a:ext cx="1835823" cy="2095719"/>
        </a:xfrm>
        <a:prstGeom prst="rect">
          <a:avLst/>
        </a:prstGeom>
      </xdr:spPr>
    </xdr:pic>
    <xdr:clientData/>
  </xdr:twoCellAnchor>
  <xdr:twoCellAnchor>
    <xdr:from>
      <xdr:col>8</xdr:col>
      <xdr:colOff>483549</xdr:colOff>
      <xdr:row>39</xdr:row>
      <xdr:rowOff>106466</xdr:rowOff>
    </xdr:from>
    <xdr:to>
      <xdr:col>8</xdr:col>
      <xdr:colOff>762949</xdr:colOff>
      <xdr:row>40</xdr:row>
      <xdr:rowOff>192091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BBE84739-F7ED-4CF3-98E9-6915D9AE4118}"/>
            </a:ext>
          </a:extLst>
        </xdr:cNvPr>
        <xdr:cNvSpPr/>
      </xdr:nvSpPr>
      <xdr:spPr>
        <a:xfrm>
          <a:off x="7328849" y="7326416"/>
          <a:ext cx="279400" cy="26977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753555</xdr:colOff>
      <xdr:row>35</xdr:row>
      <xdr:rowOff>137405</xdr:rowOff>
    </xdr:from>
    <xdr:to>
      <xdr:col>8</xdr:col>
      <xdr:colOff>204149</xdr:colOff>
      <xdr:row>37</xdr:row>
      <xdr:rowOff>24115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46F42362-6EBB-419B-98E6-2A7E44EF3F3A}"/>
            </a:ext>
          </a:extLst>
        </xdr:cNvPr>
        <xdr:cNvSpPr/>
      </xdr:nvSpPr>
      <xdr:spPr>
        <a:xfrm>
          <a:off x="6836855" y="6614405"/>
          <a:ext cx="212594" cy="26136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718760</xdr:colOff>
      <xdr:row>32</xdr:row>
      <xdr:rowOff>177770</xdr:rowOff>
    </xdr:from>
    <xdr:to>
      <xdr:col>7</xdr:col>
      <xdr:colOff>169355</xdr:colOff>
      <xdr:row>34</xdr:row>
      <xdr:rowOff>82321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466D6DAE-D6DF-418D-AEF9-5CF5CD0CC957}"/>
            </a:ext>
          </a:extLst>
        </xdr:cNvPr>
        <xdr:cNvSpPr/>
      </xdr:nvSpPr>
      <xdr:spPr>
        <a:xfrm>
          <a:off x="6040060" y="6095970"/>
          <a:ext cx="212595" cy="272851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824430</xdr:colOff>
      <xdr:row>32</xdr:row>
      <xdr:rowOff>10130</xdr:rowOff>
    </xdr:from>
    <xdr:to>
      <xdr:col>5</xdr:col>
      <xdr:colOff>277565</xdr:colOff>
      <xdr:row>33</xdr:row>
      <xdr:rowOff>98295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5DBDB2D9-F069-4E6E-8276-DD8C11E1EAF2}"/>
            </a:ext>
          </a:extLst>
        </xdr:cNvPr>
        <xdr:cNvSpPr/>
      </xdr:nvSpPr>
      <xdr:spPr>
        <a:xfrm>
          <a:off x="4558230" y="5928330"/>
          <a:ext cx="278635" cy="27231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17475</xdr:colOff>
      <xdr:row>33</xdr:row>
      <xdr:rowOff>19555</xdr:rowOff>
    </xdr:from>
    <xdr:to>
      <xdr:col>3</xdr:col>
      <xdr:colOff>296875</xdr:colOff>
      <xdr:row>34</xdr:row>
      <xdr:rowOff>107721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D590CDC3-7B14-4D27-9452-AED28F226D26}"/>
            </a:ext>
          </a:extLst>
        </xdr:cNvPr>
        <xdr:cNvSpPr/>
      </xdr:nvSpPr>
      <xdr:spPr>
        <a:xfrm>
          <a:off x="3052775" y="6121905"/>
          <a:ext cx="279400" cy="272316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801325</xdr:colOff>
      <xdr:row>35</xdr:row>
      <xdr:rowOff>137405</xdr:rowOff>
    </xdr:from>
    <xdr:to>
      <xdr:col>2</xdr:col>
      <xdr:colOff>1080725</xdr:colOff>
      <xdr:row>37</xdr:row>
      <xdr:rowOff>24115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964A3E9F-8AE8-4D77-AE1D-75BEDB614F49}"/>
            </a:ext>
          </a:extLst>
        </xdr:cNvPr>
        <xdr:cNvSpPr/>
      </xdr:nvSpPr>
      <xdr:spPr>
        <a:xfrm>
          <a:off x="2325325" y="6614405"/>
          <a:ext cx="279400" cy="26136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306025</xdr:colOff>
      <xdr:row>39</xdr:row>
      <xdr:rowOff>106466</xdr:rowOff>
    </xdr:from>
    <xdr:to>
      <xdr:col>2</xdr:col>
      <xdr:colOff>585425</xdr:colOff>
      <xdr:row>40</xdr:row>
      <xdr:rowOff>192091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0705D110-C4A4-40C9-9638-1BF164B1E0EC}"/>
            </a:ext>
          </a:extLst>
        </xdr:cNvPr>
        <xdr:cNvSpPr/>
      </xdr:nvSpPr>
      <xdr:spPr>
        <a:xfrm>
          <a:off x="1830025" y="7326416"/>
          <a:ext cx="279400" cy="26977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1436325</xdr:colOff>
      <xdr:row>29</xdr:row>
      <xdr:rowOff>124093</xdr:rowOff>
    </xdr:from>
    <xdr:to>
      <xdr:col>3</xdr:col>
      <xdr:colOff>68275</xdr:colOff>
      <xdr:row>31</xdr:row>
      <xdr:rowOff>26104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94B1FDA7-D382-421E-9AC1-20D196AD64DF}"/>
            </a:ext>
          </a:extLst>
        </xdr:cNvPr>
        <xdr:cNvSpPr/>
      </xdr:nvSpPr>
      <xdr:spPr>
        <a:xfrm>
          <a:off x="2960325" y="5489843"/>
          <a:ext cx="143250" cy="270311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1131525</xdr:colOff>
      <xdr:row>26</xdr:row>
      <xdr:rowOff>6916</xdr:rowOff>
    </xdr:from>
    <xdr:to>
      <xdr:col>2</xdr:col>
      <xdr:colOff>1410925</xdr:colOff>
      <xdr:row>27</xdr:row>
      <xdr:rowOff>92542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9A40E20F-94E1-4796-9C16-644D6448A7E3}"/>
            </a:ext>
          </a:extLst>
        </xdr:cNvPr>
        <xdr:cNvSpPr/>
      </xdr:nvSpPr>
      <xdr:spPr>
        <a:xfrm>
          <a:off x="2655525" y="4820216"/>
          <a:ext cx="279400" cy="269776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10865</xdr:colOff>
      <xdr:row>24</xdr:row>
      <xdr:rowOff>115065</xdr:rowOff>
    </xdr:from>
    <xdr:to>
      <xdr:col>5</xdr:col>
      <xdr:colOff>290265</xdr:colOff>
      <xdr:row>26</xdr:row>
      <xdr:rowOff>19616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B08A962B-8654-48B8-9459-30C3C8973219}"/>
            </a:ext>
          </a:extLst>
        </xdr:cNvPr>
        <xdr:cNvSpPr/>
      </xdr:nvSpPr>
      <xdr:spPr>
        <a:xfrm>
          <a:off x="4570165" y="4560065"/>
          <a:ext cx="279400" cy="272851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524955</xdr:colOff>
      <xdr:row>26</xdr:row>
      <xdr:rowOff>57716</xdr:rowOff>
    </xdr:from>
    <xdr:to>
      <xdr:col>7</xdr:col>
      <xdr:colOff>801815</xdr:colOff>
      <xdr:row>27</xdr:row>
      <xdr:rowOff>143342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DD875336-B1D4-434F-8944-8DEC2C691918}"/>
            </a:ext>
          </a:extLst>
        </xdr:cNvPr>
        <xdr:cNvSpPr/>
      </xdr:nvSpPr>
      <xdr:spPr>
        <a:xfrm>
          <a:off x="6608255" y="4871016"/>
          <a:ext cx="238760" cy="269776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232855</xdr:colOff>
      <xdr:row>29</xdr:row>
      <xdr:rowOff>98693</xdr:rowOff>
    </xdr:from>
    <xdr:to>
      <xdr:col>7</xdr:col>
      <xdr:colOff>512255</xdr:colOff>
      <xdr:row>31</xdr:row>
      <xdr:rowOff>704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D2986494-ECFE-40D5-88E9-27D5B331349B}"/>
            </a:ext>
          </a:extLst>
        </xdr:cNvPr>
        <xdr:cNvSpPr/>
      </xdr:nvSpPr>
      <xdr:spPr>
        <a:xfrm>
          <a:off x="6316155" y="5464443"/>
          <a:ext cx="279400" cy="270311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799030</xdr:colOff>
      <xdr:row>28</xdr:row>
      <xdr:rowOff>51167</xdr:rowOff>
    </xdr:from>
    <xdr:to>
      <xdr:col>5</xdr:col>
      <xdr:colOff>252165</xdr:colOff>
      <xdr:row>29</xdr:row>
      <xdr:rowOff>136793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3B5D8B9C-7AEE-42CF-A345-F21B8EAB976D}"/>
            </a:ext>
          </a:extLst>
        </xdr:cNvPr>
        <xdr:cNvSpPr/>
      </xdr:nvSpPr>
      <xdr:spPr>
        <a:xfrm>
          <a:off x="4558230" y="5232767"/>
          <a:ext cx="253235" cy="269776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716464</xdr:colOff>
      <xdr:row>25</xdr:row>
      <xdr:rowOff>83851</xdr:rowOff>
    </xdr:from>
    <xdr:to>
      <xdr:col>10</xdr:col>
      <xdr:colOff>169599</xdr:colOff>
      <xdr:row>26</xdr:row>
      <xdr:rowOff>169476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57026973-5F9C-4971-8315-32F3EDCFAFA4}"/>
            </a:ext>
          </a:extLst>
        </xdr:cNvPr>
        <xdr:cNvSpPr/>
      </xdr:nvSpPr>
      <xdr:spPr>
        <a:xfrm>
          <a:off x="8323764" y="4713001"/>
          <a:ext cx="215135" cy="26977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655504</xdr:colOff>
      <xdr:row>21</xdr:row>
      <xdr:rowOff>122410</xdr:rowOff>
    </xdr:from>
    <xdr:to>
      <xdr:col>10</xdr:col>
      <xdr:colOff>262600</xdr:colOff>
      <xdr:row>23</xdr:row>
      <xdr:rowOff>51171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29DE066D-5576-4BDD-B594-376F850215B1}"/>
            </a:ext>
          </a:extLst>
        </xdr:cNvPr>
        <xdr:cNvSpPr txBox="1"/>
      </xdr:nvSpPr>
      <xdr:spPr>
        <a:xfrm>
          <a:off x="8262804" y="4008610"/>
          <a:ext cx="369096" cy="30341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665327</xdr:colOff>
      <xdr:row>23</xdr:row>
      <xdr:rowOff>110120</xdr:rowOff>
    </xdr:from>
    <xdr:to>
      <xdr:col>10</xdr:col>
      <xdr:colOff>300700</xdr:colOff>
      <xdr:row>24</xdr:row>
      <xdr:rowOff>177436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358A4A7E-D100-463B-9057-A3D11B759F3A}"/>
            </a:ext>
          </a:extLst>
        </xdr:cNvPr>
        <xdr:cNvSpPr txBox="1"/>
      </xdr:nvSpPr>
      <xdr:spPr>
        <a:xfrm>
          <a:off x="8272627" y="4370970"/>
          <a:ext cx="397373" cy="2514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791374</xdr:colOff>
      <xdr:row>47</xdr:row>
      <xdr:rowOff>44193</xdr:rowOff>
    </xdr:from>
    <xdr:to>
      <xdr:col>7</xdr:col>
      <xdr:colOff>244509</xdr:colOff>
      <xdr:row>48</xdr:row>
      <xdr:rowOff>129818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3642AED3-53B6-4571-BC15-18586E884C6F}"/>
            </a:ext>
          </a:extLst>
        </xdr:cNvPr>
        <xdr:cNvSpPr/>
      </xdr:nvSpPr>
      <xdr:spPr>
        <a:xfrm>
          <a:off x="6080924" y="8756393"/>
          <a:ext cx="246885" cy="26977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699689</xdr:colOff>
      <xdr:row>47</xdr:row>
      <xdr:rowOff>44193</xdr:rowOff>
    </xdr:from>
    <xdr:to>
      <xdr:col>4</xdr:col>
      <xdr:colOff>152824</xdr:colOff>
      <xdr:row>48</xdr:row>
      <xdr:rowOff>129818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177E7AFB-133A-418C-819C-80AF96F8436F}"/>
            </a:ext>
          </a:extLst>
        </xdr:cNvPr>
        <xdr:cNvSpPr/>
      </xdr:nvSpPr>
      <xdr:spPr>
        <a:xfrm>
          <a:off x="3734989" y="8756393"/>
          <a:ext cx="215135" cy="269775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325715</xdr:colOff>
      <xdr:row>21</xdr:row>
      <xdr:rowOff>137710</xdr:rowOff>
    </xdr:from>
    <xdr:to>
      <xdr:col>11</xdr:col>
      <xdr:colOff>110931</xdr:colOff>
      <xdr:row>23</xdr:row>
      <xdr:rowOff>53082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9F43E2B9-9005-4D28-8B26-1352E29DAE77}"/>
            </a:ext>
          </a:extLst>
        </xdr:cNvPr>
        <xdr:cNvSpPr txBox="1"/>
      </xdr:nvSpPr>
      <xdr:spPr>
        <a:xfrm>
          <a:off x="8695015" y="4023910"/>
          <a:ext cx="547216" cy="2900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321325</xdr:colOff>
      <xdr:row>23</xdr:row>
      <xdr:rowOff>95727</xdr:rowOff>
    </xdr:from>
    <xdr:to>
      <xdr:col>11</xdr:col>
      <xdr:colOff>502906</xdr:colOff>
      <xdr:row>25</xdr:row>
      <xdr:rowOff>46469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FA0E2A4C-84E0-4550-9051-8A093B5CA947}"/>
            </a:ext>
          </a:extLst>
        </xdr:cNvPr>
        <xdr:cNvSpPr txBox="1"/>
      </xdr:nvSpPr>
      <xdr:spPr>
        <a:xfrm>
          <a:off x="8690625" y="4356577"/>
          <a:ext cx="943581" cy="3190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321325</xdr:colOff>
      <xdr:row>25</xdr:row>
      <xdr:rowOff>73437</xdr:rowOff>
    </xdr:from>
    <xdr:to>
      <xdr:col>11</xdr:col>
      <xdr:colOff>424511</xdr:colOff>
      <xdr:row>27</xdr:row>
      <xdr:rowOff>39858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9089F446-EE1F-49B9-919E-B8176C7114A4}"/>
            </a:ext>
          </a:extLst>
        </xdr:cNvPr>
        <xdr:cNvSpPr txBox="1"/>
      </xdr:nvSpPr>
      <xdr:spPr>
        <a:xfrm>
          <a:off x="8690625" y="4702587"/>
          <a:ext cx="865186" cy="33472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1139266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E16865B8-0473-4D8B-8E28-56976FCB7393}"/>
            </a:ext>
          </a:extLst>
        </xdr:cNvPr>
        <xdr:cNvSpPr/>
      </xdr:nvSpPr>
      <xdr:spPr>
        <a:xfrm>
          <a:off x="812004" y="2590292"/>
          <a:ext cx="1851262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Inès G.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B398DBC-CFC9-4560-8AB3-2342AE22C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0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1BEF2E75-54DF-4115-8E9D-529A4DE0E2B6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CAF18E6E-E2D5-47A7-9E0D-510754664003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71F4FBCA-436C-468A-B240-A93169D6B7FB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936217AC-6B32-4583-80EB-6DAE06757C51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7633C237-BA8F-4702-972D-74843353A990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9545A628-7EE0-4C80-A828-29FC366DB029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A8A594F1-DCA3-47EF-872F-D1B5812563B8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8B5E64C1-DCFA-4801-900D-0BF9D21E1357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7243D61B-D305-46ED-91F0-9CC2CBEA1E62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80068EBF-459B-4455-BFB9-EC9427B99D0C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E925415A-EBC3-40CF-AA0E-F6BA46B01124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F0333CB2-CB24-4AD4-ACF7-4AD2614BE856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4C6CA927-57B5-4F93-B3F4-F0AD240322B3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D309186C-3403-451B-BA9F-2CCD96927651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0BB2F58A-262E-4B91-8BC0-91133B107E9D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096F8298-6DC5-4CF9-9A73-83CF7A83ACA9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C93FC717-AF15-47AF-A287-AE197D667AE8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3E09CE80-4AF1-4651-9EE6-7F984BFF5BAC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9E58CE87-2F3A-44C0-B93A-071505F3D9EA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8C3ED01C-4D5C-4D97-845F-8C949ECEEB9F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D4EDEF60-720F-47B2-8004-8866BB2EA66C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2730DDB8-2EB3-4702-9DE1-E9D73F07340D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2D8D5696-71D8-4B0F-ACA6-F60F6380C2C7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768A92AE-555D-47FF-8F2A-F3F866DA0FA9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A4E37076-F8D1-4F7F-B087-47C5BC5ED1C0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2E0C71CE-18F6-4581-B29A-787D9200995E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F4D4800D-C0C9-4218-875C-834706FC2FD8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A7174675-DB8E-4E15-A412-CF29E9E69961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516E2FF4-C735-46BE-BB72-8F7A94E450C8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BDF19372-F942-4AC7-BEEB-68A08A6B9352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09CCA6CF-81CF-482A-A54E-0A7EDD1F8553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35D9F161-B69E-44BA-B111-EF4BEA98D38B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0D94461B-8244-4CB9-BF94-93FA102C78CE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2EA53098-A8C5-469A-B3F1-7C8FBEE83770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E91E8D57-28B3-401C-9722-4F9CDB0FB73D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3F79FB65-E838-4B34-B107-D0B029C6EA9D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33866</xdr:colOff>
      <xdr:row>1</xdr:row>
      <xdr:rowOff>152400</xdr:rowOff>
    </xdr:from>
    <xdr:to>
      <xdr:col>2</xdr:col>
      <xdr:colOff>1151466</xdr:colOff>
      <xdr:row>13</xdr:row>
      <xdr:rowOff>89243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DBC854D7-BEDD-48FF-AE16-55A42137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5866" y="336550"/>
          <a:ext cx="1879600" cy="2152993"/>
        </a:xfrm>
        <a:prstGeom prst="rect">
          <a:avLst/>
        </a:prstGeom>
      </xdr:spPr>
    </xdr:pic>
    <xdr:clientData/>
  </xdr:twoCellAnchor>
  <xdr:twoCellAnchor>
    <xdr:from>
      <xdr:col>8</xdr:col>
      <xdr:colOff>508846</xdr:colOff>
      <xdr:row>39</xdr:row>
      <xdr:rowOff>66886</xdr:rowOff>
    </xdr:from>
    <xdr:to>
      <xdr:col>8</xdr:col>
      <xdr:colOff>788246</xdr:colOff>
      <xdr:row>40</xdr:row>
      <xdr:rowOff>149859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75B7FFC5-A01B-4CAF-8800-28646C797FC7}"/>
            </a:ext>
          </a:extLst>
        </xdr:cNvPr>
        <xdr:cNvSpPr/>
      </xdr:nvSpPr>
      <xdr:spPr>
        <a:xfrm>
          <a:off x="7354146" y="7286836"/>
          <a:ext cx="254000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782319</xdr:colOff>
      <xdr:row>35</xdr:row>
      <xdr:rowOff>110066</xdr:rowOff>
    </xdr:from>
    <xdr:to>
      <xdr:col>8</xdr:col>
      <xdr:colOff>229446</xdr:colOff>
      <xdr:row>36</xdr:row>
      <xdr:rowOff>193039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3EB8A42E-61AA-4869-9F97-5007F85B3475}"/>
            </a:ext>
          </a:extLst>
        </xdr:cNvPr>
        <xdr:cNvSpPr/>
      </xdr:nvSpPr>
      <xdr:spPr>
        <a:xfrm>
          <a:off x="6846569" y="6587066"/>
          <a:ext cx="228177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750993</xdr:colOff>
      <xdr:row>32</xdr:row>
      <xdr:rowOff>160019</xdr:rowOff>
    </xdr:from>
    <xdr:to>
      <xdr:col>7</xdr:col>
      <xdr:colOff>198119</xdr:colOff>
      <xdr:row>34</xdr:row>
      <xdr:rowOff>59266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4DF7AB39-E3B0-4385-A9CE-A11B6D7CDE6C}"/>
            </a:ext>
          </a:extLst>
        </xdr:cNvPr>
        <xdr:cNvSpPr/>
      </xdr:nvSpPr>
      <xdr:spPr>
        <a:xfrm>
          <a:off x="6072293" y="6078219"/>
          <a:ext cx="209126" cy="267547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33866</xdr:colOff>
      <xdr:row>31</xdr:row>
      <xdr:rowOff>178646</xdr:rowOff>
    </xdr:from>
    <xdr:to>
      <xdr:col>5</xdr:col>
      <xdr:colOff>313266</xdr:colOff>
      <xdr:row>33</xdr:row>
      <xdr:rowOff>77893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98C98D30-75CC-4BEF-8275-624734517B27}"/>
            </a:ext>
          </a:extLst>
        </xdr:cNvPr>
        <xdr:cNvSpPr/>
      </xdr:nvSpPr>
      <xdr:spPr>
        <a:xfrm>
          <a:off x="4593166" y="5912696"/>
          <a:ext cx="279400" cy="267547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60113</xdr:colOff>
      <xdr:row>32</xdr:row>
      <xdr:rowOff>185419</xdr:rowOff>
    </xdr:from>
    <xdr:to>
      <xdr:col>3</xdr:col>
      <xdr:colOff>339513</xdr:colOff>
      <xdr:row>34</xdr:row>
      <xdr:rowOff>84666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1B1E8371-19DF-499C-9795-0242E332C0BC}"/>
            </a:ext>
          </a:extLst>
        </xdr:cNvPr>
        <xdr:cNvSpPr/>
      </xdr:nvSpPr>
      <xdr:spPr>
        <a:xfrm>
          <a:off x="3095413" y="6103619"/>
          <a:ext cx="279400" cy="267547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850899</xdr:colOff>
      <xdr:row>35</xdr:row>
      <xdr:rowOff>110066</xdr:rowOff>
    </xdr:from>
    <xdr:to>
      <xdr:col>2</xdr:col>
      <xdr:colOff>1130299</xdr:colOff>
      <xdr:row>36</xdr:row>
      <xdr:rowOff>193039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4FB6E119-B268-4C8A-B466-CAA2B9B73B0B}"/>
            </a:ext>
          </a:extLst>
        </xdr:cNvPr>
        <xdr:cNvSpPr/>
      </xdr:nvSpPr>
      <xdr:spPr>
        <a:xfrm>
          <a:off x="2374899" y="6587066"/>
          <a:ext cx="279400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355599</xdr:colOff>
      <xdr:row>39</xdr:row>
      <xdr:rowOff>66886</xdr:rowOff>
    </xdr:from>
    <xdr:to>
      <xdr:col>2</xdr:col>
      <xdr:colOff>634999</xdr:colOff>
      <xdr:row>40</xdr:row>
      <xdr:rowOff>149859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097DDA15-5392-4D13-A883-FCA1157ED890}"/>
            </a:ext>
          </a:extLst>
        </xdr:cNvPr>
        <xdr:cNvSpPr/>
      </xdr:nvSpPr>
      <xdr:spPr>
        <a:xfrm>
          <a:off x="1879599" y="7286836"/>
          <a:ext cx="279400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1485899</xdr:colOff>
      <xdr:row>29</xdr:row>
      <xdr:rowOff>114299</xdr:rowOff>
    </xdr:from>
    <xdr:to>
      <xdr:col>3</xdr:col>
      <xdr:colOff>110913</xdr:colOff>
      <xdr:row>31</xdr:row>
      <xdr:rowOff>11006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085F536B-3987-4181-B7A9-110F5F9126E1}"/>
            </a:ext>
          </a:extLst>
        </xdr:cNvPr>
        <xdr:cNvSpPr/>
      </xdr:nvSpPr>
      <xdr:spPr>
        <a:xfrm>
          <a:off x="3009899" y="5480049"/>
          <a:ext cx="136314" cy="265007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1181099</xdr:colOff>
      <xdr:row>26</xdr:row>
      <xdr:rowOff>5079</xdr:rowOff>
    </xdr:from>
    <xdr:to>
      <xdr:col>2</xdr:col>
      <xdr:colOff>1460499</xdr:colOff>
      <xdr:row>27</xdr:row>
      <xdr:rowOff>88053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46FF91D5-7FF9-40F7-91FC-B21314E942E5}"/>
            </a:ext>
          </a:extLst>
        </xdr:cNvPr>
        <xdr:cNvSpPr/>
      </xdr:nvSpPr>
      <xdr:spPr>
        <a:xfrm>
          <a:off x="2705099" y="4818379"/>
          <a:ext cx="279400" cy="267124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46566</xdr:colOff>
      <xdr:row>24</xdr:row>
      <xdr:rowOff>118533</xdr:rowOff>
    </xdr:from>
    <xdr:to>
      <xdr:col>5</xdr:col>
      <xdr:colOff>325966</xdr:colOff>
      <xdr:row>26</xdr:row>
      <xdr:rowOff>17779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E9CDB0B1-0130-4567-A690-FBDD18747D10}"/>
            </a:ext>
          </a:extLst>
        </xdr:cNvPr>
        <xdr:cNvSpPr/>
      </xdr:nvSpPr>
      <xdr:spPr>
        <a:xfrm>
          <a:off x="4605866" y="4563533"/>
          <a:ext cx="279400" cy="267546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553719</xdr:colOff>
      <xdr:row>26</xdr:row>
      <xdr:rowOff>55879</xdr:rowOff>
    </xdr:from>
    <xdr:to>
      <xdr:col>8</xdr:col>
      <xdr:colOff>846</xdr:colOff>
      <xdr:row>27</xdr:row>
      <xdr:rowOff>138853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DDC97165-2BD1-4E5C-B0AF-E70B0EA72D73}"/>
            </a:ext>
          </a:extLst>
        </xdr:cNvPr>
        <xdr:cNvSpPr/>
      </xdr:nvSpPr>
      <xdr:spPr>
        <a:xfrm>
          <a:off x="6637019" y="4869179"/>
          <a:ext cx="209127" cy="267124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261619</xdr:colOff>
      <xdr:row>29</xdr:row>
      <xdr:rowOff>88899</xdr:rowOff>
    </xdr:from>
    <xdr:to>
      <xdr:col>7</xdr:col>
      <xdr:colOff>541019</xdr:colOff>
      <xdr:row>30</xdr:row>
      <xdr:rowOff>171873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11C8F2BA-B09C-4DB1-8D0B-AAEDAC060700}"/>
            </a:ext>
          </a:extLst>
        </xdr:cNvPr>
        <xdr:cNvSpPr/>
      </xdr:nvSpPr>
      <xdr:spPr>
        <a:xfrm>
          <a:off x="6344919" y="5454649"/>
          <a:ext cx="279400" cy="267124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8466</xdr:colOff>
      <xdr:row>28</xdr:row>
      <xdr:rowOff>44026</xdr:rowOff>
    </xdr:from>
    <xdr:to>
      <xdr:col>5</xdr:col>
      <xdr:colOff>287866</xdr:colOff>
      <xdr:row>29</xdr:row>
      <xdr:rowOff>126999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622E2AC0-1536-4F4B-B61E-9C7B8D04E9B3}"/>
            </a:ext>
          </a:extLst>
        </xdr:cNvPr>
        <xdr:cNvSpPr/>
      </xdr:nvSpPr>
      <xdr:spPr>
        <a:xfrm>
          <a:off x="4567766" y="5225626"/>
          <a:ext cx="279400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738293</xdr:colOff>
      <xdr:row>25</xdr:row>
      <xdr:rowOff>84666</xdr:rowOff>
    </xdr:from>
    <xdr:to>
      <xdr:col>10</xdr:col>
      <xdr:colOff>187959</xdr:colOff>
      <xdr:row>26</xdr:row>
      <xdr:rowOff>167639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3DAA0831-06BA-4904-928C-034614944075}"/>
            </a:ext>
          </a:extLst>
        </xdr:cNvPr>
        <xdr:cNvSpPr/>
      </xdr:nvSpPr>
      <xdr:spPr>
        <a:xfrm>
          <a:off x="8345593" y="4713816"/>
          <a:ext cx="211666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677333</xdr:colOff>
      <xdr:row>21</xdr:row>
      <xdr:rowOff>135466</xdr:rowOff>
    </xdr:from>
    <xdr:to>
      <xdr:col>10</xdr:col>
      <xdr:colOff>280960</xdr:colOff>
      <xdr:row>23</xdr:row>
      <xdr:rowOff>57290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F207E7DC-0466-4825-977F-A20F07ED306E}"/>
            </a:ext>
          </a:extLst>
        </xdr:cNvPr>
        <xdr:cNvSpPr txBox="1"/>
      </xdr:nvSpPr>
      <xdr:spPr>
        <a:xfrm>
          <a:off x="8284633" y="4021666"/>
          <a:ext cx="365627" cy="29647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687156</xdr:colOff>
      <xdr:row>23</xdr:row>
      <xdr:rowOff>116239</xdr:rowOff>
    </xdr:from>
    <xdr:to>
      <xdr:col>10</xdr:col>
      <xdr:colOff>319060</xdr:colOff>
      <xdr:row>24</xdr:row>
      <xdr:rowOff>180904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D42F864C-9640-41B9-904E-74AF9E6FAB8E}"/>
            </a:ext>
          </a:extLst>
        </xdr:cNvPr>
        <xdr:cNvSpPr txBox="1"/>
      </xdr:nvSpPr>
      <xdr:spPr>
        <a:xfrm>
          <a:off x="8294456" y="4377089"/>
          <a:ext cx="393904" cy="24881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823607</xdr:colOff>
      <xdr:row>47</xdr:row>
      <xdr:rowOff>116208</xdr:rowOff>
    </xdr:from>
    <xdr:to>
      <xdr:col>7</xdr:col>
      <xdr:colOff>273273</xdr:colOff>
      <xdr:row>49</xdr:row>
      <xdr:rowOff>12914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FD1BB605-9686-4CA8-8F17-D153A45353E9}"/>
            </a:ext>
          </a:extLst>
        </xdr:cNvPr>
        <xdr:cNvSpPr/>
      </xdr:nvSpPr>
      <xdr:spPr>
        <a:xfrm>
          <a:off x="6081407" y="8828408"/>
          <a:ext cx="275166" cy="265006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742327</xdr:colOff>
      <xdr:row>47</xdr:row>
      <xdr:rowOff>116208</xdr:rowOff>
    </xdr:from>
    <xdr:to>
      <xdr:col>4</xdr:col>
      <xdr:colOff>191993</xdr:colOff>
      <xdr:row>49</xdr:row>
      <xdr:rowOff>12914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A9BD720C-8D45-4734-8177-F540284E6F8F}"/>
            </a:ext>
          </a:extLst>
        </xdr:cNvPr>
        <xdr:cNvSpPr/>
      </xdr:nvSpPr>
      <xdr:spPr>
        <a:xfrm>
          <a:off x="3777627" y="8828408"/>
          <a:ext cx="211666" cy="265006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343056</xdr:colOff>
      <xdr:row>21</xdr:row>
      <xdr:rowOff>152400</xdr:rowOff>
    </xdr:from>
    <xdr:to>
      <xdr:col>11</xdr:col>
      <xdr:colOff>124804</xdr:colOff>
      <xdr:row>23</xdr:row>
      <xdr:rowOff>60835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EF310C29-2D32-448B-B18D-6300DA12C789}"/>
            </a:ext>
          </a:extLst>
        </xdr:cNvPr>
        <xdr:cNvSpPr txBox="1"/>
      </xdr:nvSpPr>
      <xdr:spPr>
        <a:xfrm>
          <a:off x="8712356" y="4038600"/>
          <a:ext cx="543748" cy="2830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338666</xdr:colOff>
      <xdr:row>23</xdr:row>
      <xdr:rowOff>103480</xdr:rowOff>
    </xdr:from>
    <xdr:to>
      <xdr:col>11</xdr:col>
      <xdr:colOff>516779</xdr:colOff>
      <xdr:row>25</xdr:row>
      <xdr:rowOff>48918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90EB4757-C54B-421C-92B7-19B600BE730D}"/>
            </a:ext>
          </a:extLst>
        </xdr:cNvPr>
        <xdr:cNvSpPr txBox="1"/>
      </xdr:nvSpPr>
      <xdr:spPr>
        <a:xfrm>
          <a:off x="8707966" y="4364330"/>
          <a:ext cx="940113" cy="31373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338666</xdr:colOff>
      <xdr:row>25</xdr:row>
      <xdr:rowOff>75886</xdr:rowOff>
    </xdr:from>
    <xdr:to>
      <xdr:col>11</xdr:col>
      <xdr:colOff>438384</xdr:colOff>
      <xdr:row>27</xdr:row>
      <xdr:rowOff>37003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BD21B6AF-1F2D-4714-ADD9-0700AF27A55F}"/>
            </a:ext>
          </a:extLst>
        </xdr:cNvPr>
        <xdr:cNvSpPr txBox="1"/>
      </xdr:nvSpPr>
      <xdr:spPr>
        <a:xfrm>
          <a:off x="8707966" y="4705036"/>
          <a:ext cx="861718" cy="3294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1139266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CB89652-9835-4285-8F5F-57F67505D626}"/>
            </a:ext>
          </a:extLst>
        </xdr:cNvPr>
        <xdr:cNvSpPr/>
      </xdr:nvSpPr>
      <xdr:spPr>
        <a:xfrm>
          <a:off x="812004" y="2590292"/>
          <a:ext cx="1851262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Hana K.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554797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8FB44713-F2C2-43D1-94C7-8A7B5523D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4055948"/>
          <a:ext cx="8821501" cy="5776558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1A7A9925-3CDC-46DC-A4C7-080E8CB10F34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5793DBE3-90BA-4393-B863-727F3658D169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459032ED-D472-424D-B330-430727384587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3D2A670F-6162-43C2-A339-D712B3C8B9B3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BAA47EDE-821F-4D50-91A8-E08CA8DB0FC8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1970F8BB-C361-4B06-A8B8-397BC7E58310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DDB9283D-0B5E-42A0-860D-F43FDB6D1D97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B7AA353B-F48E-4595-96AE-FD7EA82183BC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23F43804-DF73-4778-A45B-C034A6EBCEDC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AC65136F-834A-42F4-A25B-212B9505ADF3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1C9D4C30-F1BE-4871-AC29-B980B2EFAEE7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F2C82767-11E2-49F2-BA4A-4A2FBA8B6A26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41F5AADD-C591-4FC8-A753-3E370CD60A2E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6AA92738-52A5-4E02-AE00-8E27FFB03159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A4A1E7B4-86B1-4FA5-B7DB-97FF4910551B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870BF5ED-8B10-4425-A219-5946DAE9450E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B097EF5B-EF93-4E94-9C8D-7E650B3B1AAA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B8C21E1D-58D2-42BB-8EAF-C7E7AFAB07D8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7D973F64-53A4-4898-B8F1-651E706EDB32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287A1912-BAFA-4805-8663-674374B63949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27DF26DA-A9A5-4ACC-BF91-C29CD062B252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031D6371-F1F2-4FC0-9F3D-C2C9E86450A1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56332D63-12C8-4880-BEA4-EC66B1A0C102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454047C3-2FBF-4FFD-9176-578CC955A22E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11E66524-D379-464E-B86E-96EA38C848CB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6D0A2ABF-9FF7-4CE9-A82C-AB6CFCEA36F6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20349A50-47C3-41C9-8434-7D699881A3DB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666E17A7-E073-4EC3-A124-4E9E00239100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D1953396-0C99-4D7B-8341-D522D498C078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0EBD65E6-31FD-46D3-A179-60C256852D15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A575F707-2FDD-46E3-9A12-1C0B171A92FC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F83FD35C-3CED-4897-B33A-30DDA84E3729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7891FB4B-BF8D-4CCB-9758-A47F1CCB4BD8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E40CBF6D-8889-48D5-B821-96EDD5356CF5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#DIV/0!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A9A17580-1C83-45F6-BFED-B7E2212ABB62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F199F186-D5A2-429D-8442-F9E9D280D8ED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50801</xdr:colOff>
      <xdr:row>1</xdr:row>
      <xdr:rowOff>33867</xdr:rowOff>
    </xdr:from>
    <xdr:to>
      <xdr:col>2</xdr:col>
      <xdr:colOff>1159933</xdr:colOff>
      <xdr:row>11</xdr:row>
      <xdr:rowOff>59266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60A6AF2F-1C7D-45F9-BBAC-FB33D4D34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801" y="218017"/>
          <a:ext cx="1871132" cy="2150533"/>
        </a:xfrm>
        <a:prstGeom prst="rect">
          <a:avLst/>
        </a:prstGeom>
      </xdr:spPr>
    </xdr:pic>
    <xdr:clientData/>
  </xdr:twoCellAnchor>
  <xdr:twoCellAnchor>
    <xdr:from>
      <xdr:col>8</xdr:col>
      <xdr:colOff>508846</xdr:colOff>
      <xdr:row>39</xdr:row>
      <xdr:rowOff>16086</xdr:rowOff>
    </xdr:from>
    <xdr:to>
      <xdr:col>8</xdr:col>
      <xdr:colOff>788246</xdr:colOff>
      <xdr:row>40</xdr:row>
      <xdr:rowOff>99059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52B974D7-02C3-483B-BD62-9BC47962FFA9}"/>
            </a:ext>
          </a:extLst>
        </xdr:cNvPr>
        <xdr:cNvSpPr/>
      </xdr:nvSpPr>
      <xdr:spPr>
        <a:xfrm>
          <a:off x="7354146" y="7236036"/>
          <a:ext cx="254000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782319</xdr:colOff>
      <xdr:row>35</xdr:row>
      <xdr:rowOff>59266</xdr:rowOff>
    </xdr:from>
    <xdr:to>
      <xdr:col>8</xdr:col>
      <xdr:colOff>229446</xdr:colOff>
      <xdr:row>36</xdr:row>
      <xdr:rowOff>142239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8CDAB412-C52F-4289-8D62-3DE3930081BC}"/>
            </a:ext>
          </a:extLst>
        </xdr:cNvPr>
        <xdr:cNvSpPr/>
      </xdr:nvSpPr>
      <xdr:spPr>
        <a:xfrm>
          <a:off x="6846569" y="6536266"/>
          <a:ext cx="228177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750993</xdr:colOff>
      <xdr:row>32</xdr:row>
      <xdr:rowOff>109219</xdr:rowOff>
    </xdr:from>
    <xdr:to>
      <xdr:col>7</xdr:col>
      <xdr:colOff>198119</xdr:colOff>
      <xdr:row>34</xdr:row>
      <xdr:rowOff>8466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4468BAA9-0DD3-4401-A1F5-6E50D1A7993D}"/>
            </a:ext>
          </a:extLst>
        </xdr:cNvPr>
        <xdr:cNvSpPr/>
      </xdr:nvSpPr>
      <xdr:spPr>
        <a:xfrm>
          <a:off x="6072293" y="6027419"/>
          <a:ext cx="209126" cy="267547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33866</xdr:colOff>
      <xdr:row>31</xdr:row>
      <xdr:rowOff>127846</xdr:rowOff>
    </xdr:from>
    <xdr:to>
      <xdr:col>5</xdr:col>
      <xdr:colOff>313266</xdr:colOff>
      <xdr:row>33</xdr:row>
      <xdr:rowOff>27093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9281A6B9-6238-4F74-AC18-7D74DB1A47BA}"/>
            </a:ext>
          </a:extLst>
        </xdr:cNvPr>
        <xdr:cNvSpPr/>
      </xdr:nvSpPr>
      <xdr:spPr>
        <a:xfrm>
          <a:off x="4593166" y="5861896"/>
          <a:ext cx="279400" cy="267547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60113</xdr:colOff>
      <xdr:row>32</xdr:row>
      <xdr:rowOff>134619</xdr:rowOff>
    </xdr:from>
    <xdr:to>
      <xdr:col>3</xdr:col>
      <xdr:colOff>339513</xdr:colOff>
      <xdr:row>34</xdr:row>
      <xdr:rowOff>33866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BAEE56DE-0E0F-4295-BA4B-EFBD758D4AE0}"/>
            </a:ext>
          </a:extLst>
        </xdr:cNvPr>
        <xdr:cNvSpPr/>
      </xdr:nvSpPr>
      <xdr:spPr>
        <a:xfrm>
          <a:off x="3095413" y="6052819"/>
          <a:ext cx="279400" cy="267547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850899</xdr:colOff>
      <xdr:row>35</xdr:row>
      <xdr:rowOff>59266</xdr:rowOff>
    </xdr:from>
    <xdr:to>
      <xdr:col>2</xdr:col>
      <xdr:colOff>1130299</xdr:colOff>
      <xdr:row>36</xdr:row>
      <xdr:rowOff>142239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0CACFF88-0961-44FF-AC9B-12E01A04F9E5}"/>
            </a:ext>
          </a:extLst>
        </xdr:cNvPr>
        <xdr:cNvSpPr/>
      </xdr:nvSpPr>
      <xdr:spPr>
        <a:xfrm>
          <a:off x="2374899" y="6536266"/>
          <a:ext cx="279400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355599</xdr:colOff>
      <xdr:row>39</xdr:row>
      <xdr:rowOff>16086</xdr:rowOff>
    </xdr:from>
    <xdr:to>
      <xdr:col>2</xdr:col>
      <xdr:colOff>634999</xdr:colOff>
      <xdr:row>40</xdr:row>
      <xdr:rowOff>99059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AD371E38-27CF-435F-AF61-FDC05CA631F2}"/>
            </a:ext>
          </a:extLst>
        </xdr:cNvPr>
        <xdr:cNvSpPr/>
      </xdr:nvSpPr>
      <xdr:spPr>
        <a:xfrm>
          <a:off x="1879599" y="7236036"/>
          <a:ext cx="279400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1485899</xdr:colOff>
      <xdr:row>29</xdr:row>
      <xdr:rowOff>63499</xdr:rowOff>
    </xdr:from>
    <xdr:to>
      <xdr:col>3</xdr:col>
      <xdr:colOff>110913</xdr:colOff>
      <xdr:row>30</xdr:row>
      <xdr:rowOff>146473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F8E37E1D-0EB2-401B-A8BA-F25986D4BA4D}"/>
            </a:ext>
          </a:extLst>
        </xdr:cNvPr>
        <xdr:cNvSpPr/>
      </xdr:nvSpPr>
      <xdr:spPr>
        <a:xfrm>
          <a:off x="3009899" y="5429249"/>
          <a:ext cx="136314" cy="267124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1181099</xdr:colOff>
      <xdr:row>25</xdr:row>
      <xdr:rowOff>140546</xdr:rowOff>
    </xdr:from>
    <xdr:to>
      <xdr:col>2</xdr:col>
      <xdr:colOff>1460499</xdr:colOff>
      <xdr:row>27</xdr:row>
      <xdr:rowOff>37253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4A4DE954-3D49-49AD-922B-97D5A38DFAEB}"/>
            </a:ext>
          </a:extLst>
        </xdr:cNvPr>
        <xdr:cNvSpPr/>
      </xdr:nvSpPr>
      <xdr:spPr>
        <a:xfrm>
          <a:off x="2705099" y="4769696"/>
          <a:ext cx="279400" cy="265007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46566</xdr:colOff>
      <xdr:row>24</xdr:row>
      <xdr:rowOff>67733</xdr:rowOff>
    </xdr:from>
    <xdr:to>
      <xdr:col>5</xdr:col>
      <xdr:colOff>325966</xdr:colOff>
      <xdr:row>25</xdr:row>
      <xdr:rowOff>153246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6D61A0D3-5C4F-413D-A465-65EEDE40E5AB}"/>
            </a:ext>
          </a:extLst>
        </xdr:cNvPr>
        <xdr:cNvSpPr/>
      </xdr:nvSpPr>
      <xdr:spPr>
        <a:xfrm>
          <a:off x="4605866" y="4512733"/>
          <a:ext cx="279400" cy="26966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553719</xdr:colOff>
      <xdr:row>26</xdr:row>
      <xdr:rowOff>5079</xdr:rowOff>
    </xdr:from>
    <xdr:to>
      <xdr:col>8</xdr:col>
      <xdr:colOff>846</xdr:colOff>
      <xdr:row>27</xdr:row>
      <xdr:rowOff>88053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7FA6CD92-A034-4880-A5ED-2C01C87FB817}"/>
            </a:ext>
          </a:extLst>
        </xdr:cNvPr>
        <xdr:cNvSpPr/>
      </xdr:nvSpPr>
      <xdr:spPr>
        <a:xfrm>
          <a:off x="6637019" y="4818379"/>
          <a:ext cx="209127" cy="267124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261619</xdr:colOff>
      <xdr:row>29</xdr:row>
      <xdr:rowOff>38099</xdr:rowOff>
    </xdr:from>
    <xdr:to>
      <xdr:col>7</xdr:col>
      <xdr:colOff>541019</xdr:colOff>
      <xdr:row>30</xdr:row>
      <xdr:rowOff>121073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32635018-C99F-436D-8054-F2BE82AD69F7}"/>
            </a:ext>
          </a:extLst>
        </xdr:cNvPr>
        <xdr:cNvSpPr/>
      </xdr:nvSpPr>
      <xdr:spPr>
        <a:xfrm>
          <a:off x="6344919" y="5403849"/>
          <a:ext cx="279400" cy="267124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8466</xdr:colOff>
      <xdr:row>27</xdr:row>
      <xdr:rowOff>179493</xdr:rowOff>
    </xdr:from>
    <xdr:to>
      <xdr:col>5</xdr:col>
      <xdr:colOff>287866</xdr:colOff>
      <xdr:row>29</xdr:row>
      <xdr:rowOff>76199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4597C7F4-B709-440C-BCB4-A9078CB332A9}"/>
            </a:ext>
          </a:extLst>
        </xdr:cNvPr>
        <xdr:cNvSpPr/>
      </xdr:nvSpPr>
      <xdr:spPr>
        <a:xfrm>
          <a:off x="4567766" y="5176943"/>
          <a:ext cx="279400" cy="265006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738293</xdr:colOff>
      <xdr:row>25</xdr:row>
      <xdr:rowOff>33866</xdr:rowOff>
    </xdr:from>
    <xdr:to>
      <xdr:col>10</xdr:col>
      <xdr:colOff>187959</xdr:colOff>
      <xdr:row>26</xdr:row>
      <xdr:rowOff>116839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9226E4D6-A0E0-4AE3-9B43-34BED1802544}"/>
            </a:ext>
          </a:extLst>
        </xdr:cNvPr>
        <xdr:cNvSpPr/>
      </xdr:nvSpPr>
      <xdr:spPr>
        <a:xfrm>
          <a:off x="8345593" y="4663016"/>
          <a:ext cx="211666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677333</xdr:colOff>
      <xdr:row>21</xdr:row>
      <xdr:rowOff>84666</xdr:rowOff>
    </xdr:from>
    <xdr:to>
      <xdr:col>10</xdr:col>
      <xdr:colOff>280960</xdr:colOff>
      <xdr:row>23</xdr:row>
      <xdr:rowOff>6490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415F6009-4CE0-456F-BDB9-C9B9C7EEC6B5}"/>
            </a:ext>
          </a:extLst>
        </xdr:cNvPr>
        <xdr:cNvSpPr txBox="1"/>
      </xdr:nvSpPr>
      <xdr:spPr>
        <a:xfrm>
          <a:off x="8284633" y="3970866"/>
          <a:ext cx="365627" cy="29647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687156</xdr:colOff>
      <xdr:row>23</xdr:row>
      <xdr:rowOff>65439</xdr:rowOff>
    </xdr:from>
    <xdr:to>
      <xdr:col>10</xdr:col>
      <xdr:colOff>319060</xdr:colOff>
      <xdr:row>24</xdr:row>
      <xdr:rowOff>130104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A7AEBFE4-FD8C-4CC9-80E5-80E4DDC8D7F7}"/>
            </a:ext>
          </a:extLst>
        </xdr:cNvPr>
        <xdr:cNvSpPr txBox="1"/>
      </xdr:nvSpPr>
      <xdr:spPr>
        <a:xfrm>
          <a:off x="8294456" y="4326289"/>
          <a:ext cx="393904" cy="24881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823607</xdr:colOff>
      <xdr:row>47</xdr:row>
      <xdr:rowOff>65408</xdr:rowOff>
    </xdr:from>
    <xdr:to>
      <xdr:col>7</xdr:col>
      <xdr:colOff>273273</xdr:colOff>
      <xdr:row>48</xdr:row>
      <xdr:rowOff>148381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DEAA307A-BC7E-4FA8-BE81-0EF688026073}"/>
            </a:ext>
          </a:extLst>
        </xdr:cNvPr>
        <xdr:cNvSpPr/>
      </xdr:nvSpPr>
      <xdr:spPr>
        <a:xfrm>
          <a:off x="6081407" y="8777608"/>
          <a:ext cx="275166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742327</xdr:colOff>
      <xdr:row>47</xdr:row>
      <xdr:rowOff>65408</xdr:rowOff>
    </xdr:from>
    <xdr:to>
      <xdr:col>4</xdr:col>
      <xdr:colOff>191993</xdr:colOff>
      <xdr:row>48</xdr:row>
      <xdr:rowOff>148381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7488EE15-A2E8-493C-AED2-7E187EC23F3C}"/>
            </a:ext>
          </a:extLst>
        </xdr:cNvPr>
        <xdr:cNvSpPr/>
      </xdr:nvSpPr>
      <xdr:spPr>
        <a:xfrm>
          <a:off x="3777627" y="8777608"/>
          <a:ext cx="211666" cy="267123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338666</xdr:colOff>
      <xdr:row>21</xdr:row>
      <xdr:rowOff>101600</xdr:rowOff>
    </xdr:from>
    <xdr:to>
      <xdr:col>11</xdr:col>
      <xdr:colOff>124804</xdr:colOff>
      <xdr:row>23</xdr:row>
      <xdr:rowOff>10035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B6DD7BA8-6B2A-46BF-A314-8F062AB172E4}"/>
            </a:ext>
          </a:extLst>
        </xdr:cNvPr>
        <xdr:cNvSpPr txBox="1"/>
      </xdr:nvSpPr>
      <xdr:spPr>
        <a:xfrm>
          <a:off x="8707966" y="3987800"/>
          <a:ext cx="548138" cy="2830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338666</xdr:colOff>
      <xdr:row>23</xdr:row>
      <xdr:rowOff>52680</xdr:rowOff>
    </xdr:from>
    <xdr:to>
      <xdr:col>11</xdr:col>
      <xdr:colOff>516779</xdr:colOff>
      <xdr:row>24</xdr:row>
      <xdr:rowOff>184385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D00FF450-2501-4729-8BD5-D0BF5C709587}"/>
            </a:ext>
          </a:extLst>
        </xdr:cNvPr>
        <xdr:cNvSpPr txBox="1"/>
      </xdr:nvSpPr>
      <xdr:spPr>
        <a:xfrm>
          <a:off x="8707966" y="4313530"/>
          <a:ext cx="940113" cy="3158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338666</xdr:colOff>
      <xdr:row>25</xdr:row>
      <xdr:rowOff>25086</xdr:rowOff>
    </xdr:from>
    <xdr:to>
      <xdr:col>11</xdr:col>
      <xdr:colOff>438384</xdr:colOff>
      <xdr:row>26</xdr:row>
      <xdr:rowOff>172469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E071A0EC-C373-43BB-9CB5-A940CB227CBB}"/>
            </a:ext>
          </a:extLst>
        </xdr:cNvPr>
        <xdr:cNvSpPr txBox="1"/>
      </xdr:nvSpPr>
      <xdr:spPr>
        <a:xfrm>
          <a:off x="8707966" y="4654236"/>
          <a:ext cx="861718" cy="331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1139266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9B21DB5D-6A55-4D8C-A5CB-B5F693B46CAE}"/>
            </a:ext>
          </a:extLst>
        </xdr:cNvPr>
        <xdr:cNvSpPr/>
      </xdr:nvSpPr>
      <xdr:spPr>
        <a:xfrm>
          <a:off x="812004" y="2590292"/>
          <a:ext cx="1851262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Camille T.</a:t>
          </a:r>
        </a:p>
      </xdr:txBody>
    </xdr:sp>
    <xdr:clientData/>
  </xdr:twoCellAnchor>
  <xdr:twoCellAnchor editAs="oneCell">
    <xdr:from>
      <xdr:col>1</xdr:col>
      <xdr:colOff>38077</xdr:colOff>
      <xdr:row>2</xdr:row>
      <xdr:rowOff>18677</xdr:rowOff>
    </xdr:from>
    <xdr:to>
      <xdr:col>2</xdr:col>
      <xdr:colOff>1139265</xdr:colOff>
      <xdr:row>13</xdr:row>
      <xdr:rowOff>118035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7EA1940-9BE1-4268-A674-9E021F5FE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0077" y="386977"/>
          <a:ext cx="1863188" cy="2131358"/>
        </a:xfrm>
        <a:prstGeom prst="rect">
          <a:avLst/>
        </a:prstGeom>
      </xdr:spPr>
    </xdr:pic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45039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6A1A26F1-1DF7-42DB-B6C8-E8F29CD01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3"/>
            </a:ext>
          </a:extLst>
        </a:blip>
        <a:stretch>
          <a:fillRect/>
        </a:stretch>
      </xdr:blipFill>
      <xdr:spPr>
        <a:xfrm>
          <a:off x="818029" y="3761731"/>
          <a:ext cx="8817268" cy="5719408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5" name="ZoneTexte 4">
          <a:extLst>
            <a:ext uri="{FF2B5EF4-FFF2-40B4-BE49-F238E27FC236}">
              <a16:creationId xmlns:a16="http://schemas.microsoft.com/office/drawing/2014/main" id="{A85F1F8A-72E7-4FE6-8B9B-80C49E31FB79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6" name="ZoneTexte 5">
          <a:extLst>
            <a:ext uri="{FF2B5EF4-FFF2-40B4-BE49-F238E27FC236}">
              <a16:creationId xmlns:a16="http://schemas.microsoft.com/office/drawing/2014/main" id="{12FF486D-B839-4D28-A8C8-CE79E4A5B094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7" name="ZoneTexte 6">
          <a:extLst>
            <a:ext uri="{FF2B5EF4-FFF2-40B4-BE49-F238E27FC236}">
              <a16:creationId xmlns:a16="http://schemas.microsoft.com/office/drawing/2014/main" id="{6EF9D918-4B12-4688-BF5E-ABC0186CA510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8" name="ZoneTexte 7">
          <a:extLst>
            <a:ext uri="{FF2B5EF4-FFF2-40B4-BE49-F238E27FC236}">
              <a16:creationId xmlns:a16="http://schemas.microsoft.com/office/drawing/2014/main" id="{A088FB3E-3C71-47F3-B326-4FB0364E4FC9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9" name="ZoneTexte 8">
          <a:extLst>
            <a:ext uri="{FF2B5EF4-FFF2-40B4-BE49-F238E27FC236}">
              <a16:creationId xmlns:a16="http://schemas.microsoft.com/office/drawing/2014/main" id="{BB6E723D-457A-4B27-9566-DDDDF547944A}"/>
            </a:ext>
          </a:extLst>
        </xdr:cNvPr>
        <xdr:cNvSpPr txBox="1"/>
      </xdr:nvSpPr>
      <xdr:spPr>
        <a:xfrm>
          <a:off x="4405649" y="88854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10" name="ZoneTexte 9">
          <a:extLst>
            <a:ext uri="{FF2B5EF4-FFF2-40B4-BE49-F238E27FC236}">
              <a16:creationId xmlns:a16="http://schemas.microsoft.com/office/drawing/2014/main" id="{23449760-C970-4532-938D-F56FCBA66439}"/>
            </a:ext>
          </a:extLst>
        </xdr:cNvPr>
        <xdr:cNvSpPr txBox="1"/>
      </xdr:nvSpPr>
      <xdr:spPr>
        <a:xfrm>
          <a:off x="6774822" y="88854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1" name="ZoneTexte 10">
          <a:extLst>
            <a:ext uri="{FF2B5EF4-FFF2-40B4-BE49-F238E27FC236}">
              <a16:creationId xmlns:a16="http://schemas.microsoft.com/office/drawing/2014/main" id="{7602824F-FC96-43E6-9681-E88B3728BAC3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2" name="ZoneTexte 11">
          <a:extLst>
            <a:ext uri="{FF2B5EF4-FFF2-40B4-BE49-F238E27FC236}">
              <a16:creationId xmlns:a16="http://schemas.microsoft.com/office/drawing/2014/main" id="{36F2B69F-76B9-4A8F-9529-0C4A76178106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3" name="ZoneTexte 12">
          <a:extLst>
            <a:ext uri="{FF2B5EF4-FFF2-40B4-BE49-F238E27FC236}">
              <a16:creationId xmlns:a16="http://schemas.microsoft.com/office/drawing/2014/main" id="{B00DC301-441A-4FAF-8606-79E1FAA0D7E7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4" name="ZoneTexte 13">
          <a:extLst>
            <a:ext uri="{FF2B5EF4-FFF2-40B4-BE49-F238E27FC236}">
              <a16:creationId xmlns:a16="http://schemas.microsoft.com/office/drawing/2014/main" id="{F826A740-4B27-4826-94D8-25E63F8EE3BA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5" name="ZoneTexte 14">
          <a:extLst>
            <a:ext uri="{FF2B5EF4-FFF2-40B4-BE49-F238E27FC236}">
              <a16:creationId xmlns:a16="http://schemas.microsoft.com/office/drawing/2014/main" id="{EB32CC1D-28EB-4AA3-96E4-C2C844DF6065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6" name="ZoneTexte 15">
          <a:extLst>
            <a:ext uri="{FF2B5EF4-FFF2-40B4-BE49-F238E27FC236}">
              <a16:creationId xmlns:a16="http://schemas.microsoft.com/office/drawing/2014/main" id="{05538D9F-A976-499E-B8B4-2B3D87230704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7" name="ZoneTexte 16">
          <a:extLst>
            <a:ext uri="{FF2B5EF4-FFF2-40B4-BE49-F238E27FC236}">
              <a16:creationId xmlns:a16="http://schemas.microsoft.com/office/drawing/2014/main" id="{EE770A6E-04FD-48F0-8666-E37D6CA29402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8" name="ZoneTexte 17">
          <a:extLst>
            <a:ext uri="{FF2B5EF4-FFF2-40B4-BE49-F238E27FC236}">
              <a16:creationId xmlns:a16="http://schemas.microsoft.com/office/drawing/2014/main" id="{25FDC4BA-7407-4546-B26E-C88C97394DBA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9" name="ZoneTexte 18">
          <a:extLst>
            <a:ext uri="{FF2B5EF4-FFF2-40B4-BE49-F238E27FC236}">
              <a16:creationId xmlns:a16="http://schemas.microsoft.com/office/drawing/2014/main" id="{649C8117-8429-41D9-8F5F-BB7A10F2A2A6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20" name="ZoneTexte 19">
          <a:extLst>
            <a:ext uri="{FF2B5EF4-FFF2-40B4-BE49-F238E27FC236}">
              <a16:creationId xmlns:a16="http://schemas.microsoft.com/office/drawing/2014/main" id="{032BB913-E958-4258-BA95-4E0D67E5F940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1" name="ZoneTexte 20">
          <a:extLst>
            <a:ext uri="{FF2B5EF4-FFF2-40B4-BE49-F238E27FC236}">
              <a16:creationId xmlns:a16="http://schemas.microsoft.com/office/drawing/2014/main" id="{DFE79D1B-B568-471E-A979-E8D97A876BBC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2" name="ZoneTexte 21">
          <a:extLst>
            <a:ext uri="{FF2B5EF4-FFF2-40B4-BE49-F238E27FC236}">
              <a16:creationId xmlns:a16="http://schemas.microsoft.com/office/drawing/2014/main" id="{23EE3995-87C9-47C5-9216-B27CAF678A76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3" name="ZoneTexte 22">
          <a:extLst>
            <a:ext uri="{FF2B5EF4-FFF2-40B4-BE49-F238E27FC236}">
              <a16:creationId xmlns:a16="http://schemas.microsoft.com/office/drawing/2014/main" id="{8031537C-365A-4F3D-A0CA-202F3019DAE0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75%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4" name="ZoneTexte 23">
          <a:extLst>
            <a:ext uri="{FF2B5EF4-FFF2-40B4-BE49-F238E27FC236}">
              <a16:creationId xmlns:a16="http://schemas.microsoft.com/office/drawing/2014/main" id="{97A79A52-9536-49C1-9238-F76B170B3E4D}"/>
            </a:ext>
          </a:extLst>
        </xdr:cNvPr>
        <xdr:cNvSpPr txBox="1"/>
      </xdr:nvSpPr>
      <xdr:spPr>
        <a:xfrm>
          <a:off x="7421367" y="7234465"/>
          <a:ext cx="700367" cy="58312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5" name="ZoneTexte 24">
          <a:extLst>
            <a:ext uri="{FF2B5EF4-FFF2-40B4-BE49-F238E27FC236}">
              <a16:creationId xmlns:a16="http://schemas.microsoft.com/office/drawing/2014/main" id="{6A371377-6C35-435F-A7A7-B71A8D13C726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6" name="ZoneTexte 25">
          <a:extLst>
            <a:ext uri="{FF2B5EF4-FFF2-40B4-BE49-F238E27FC236}">
              <a16:creationId xmlns:a16="http://schemas.microsoft.com/office/drawing/2014/main" id="{6EAF0826-E65B-4AAF-B270-6262BE0C154A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7" name="ZoneTexte 26">
          <a:extLst>
            <a:ext uri="{FF2B5EF4-FFF2-40B4-BE49-F238E27FC236}">
              <a16:creationId xmlns:a16="http://schemas.microsoft.com/office/drawing/2014/main" id="{F93B06E9-D633-476C-B5B1-6B9E59F17A6D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8" name="ZoneTexte 27">
          <a:extLst>
            <a:ext uri="{FF2B5EF4-FFF2-40B4-BE49-F238E27FC236}">
              <a16:creationId xmlns:a16="http://schemas.microsoft.com/office/drawing/2014/main" id="{DD04D882-B5E3-4DA4-B062-9537FA3AB8A0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9" name="ZoneTexte 28">
          <a:extLst>
            <a:ext uri="{FF2B5EF4-FFF2-40B4-BE49-F238E27FC236}">
              <a16:creationId xmlns:a16="http://schemas.microsoft.com/office/drawing/2014/main" id="{A81C6F43-82C7-487A-938F-A50E41FF8A64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30" name="ZoneTexte 29">
          <a:extLst>
            <a:ext uri="{FF2B5EF4-FFF2-40B4-BE49-F238E27FC236}">
              <a16:creationId xmlns:a16="http://schemas.microsoft.com/office/drawing/2014/main" id="{11829873-059E-4DAE-A48D-0DCF6D233F43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1" name="ZoneTexte 30">
          <a:extLst>
            <a:ext uri="{FF2B5EF4-FFF2-40B4-BE49-F238E27FC236}">
              <a16:creationId xmlns:a16="http://schemas.microsoft.com/office/drawing/2014/main" id="{DE062679-ACAC-4719-A25B-934028FB04DC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2" name="ZoneTexte 31">
          <a:extLst>
            <a:ext uri="{FF2B5EF4-FFF2-40B4-BE49-F238E27FC236}">
              <a16:creationId xmlns:a16="http://schemas.microsoft.com/office/drawing/2014/main" id="{FA4463CC-788F-494A-8A14-E1413043D290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3" name="ZoneTexte 32">
          <a:extLst>
            <a:ext uri="{FF2B5EF4-FFF2-40B4-BE49-F238E27FC236}">
              <a16:creationId xmlns:a16="http://schemas.microsoft.com/office/drawing/2014/main" id="{8572C609-75B8-4800-B016-16F96BFFE146}"/>
            </a:ext>
          </a:extLst>
        </xdr:cNvPr>
        <xdr:cNvSpPr txBox="1"/>
      </xdr:nvSpPr>
      <xdr:spPr>
        <a:xfrm>
          <a:off x="1916206" y="7243578"/>
          <a:ext cx="741100" cy="58312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80,0%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4" name="ZoneTexte 33">
          <a:extLst>
            <a:ext uri="{FF2B5EF4-FFF2-40B4-BE49-F238E27FC236}">
              <a16:creationId xmlns:a16="http://schemas.microsoft.com/office/drawing/2014/main" id="{8E4A94F4-75CF-4D7F-933F-148F5B63B5C0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5" name="ZoneTexte 34">
          <a:extLst>
            <a:ext uri="{FF2B5EF4-FFF2-40B4-BE49-F238E27FC236}">
              <a16:creationId xmlns:a16="http://schemas.microsoft.com/office/drawing/2014/main" id="{35249020-2E65-4B0C-9F7F-74E34148A3FA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6" name="ZoneTexte 35">
          <a:extLst>
            <a:ext uri="{FF2B5EF4-FFF2-40B4-BE49-F238E27FC236}">
              <a16:creationId xmlns:a16="http://schemas.microsoft.com/office/drawing/2014/main" id="{BF396280-5B9A-49AB-93B8-B2C8EBB29198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7" name="ZoneTexte 36">
          <a:extLst>
            <a:ext uri="{FF2B5EF4-FFF2-40B4-BE49-F238E27FC236}">
              <a16:creationId xmlns:a16="http://schemas.microsoft.com/office/drawing/2014/main" id="{DD528B59-B515-494D-AF19-84568ADD2BA2}"/>
            </a:ext>
          </a:extLst>
        </xdr:cNvPr>
        <xdr:cNvSpPr txBox="1"/>
      </xdr:nvSpPr>
      <xdr:spPr>
        <a:xfrm>
          <a:off x="3801904" y="87512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8" name="ZoneTexte 37">
          <a:extLst>
            <a:ext uri="{FF2B5EF4-FFF2-40B4-BE49-F238E27FC236}">
              <a16:creationId xmlns:a16="http://schemas.microsoft.com/office/drawing/2014/main" id="{3FB63F80-558E-4E13-9D18-17FE7F92D690}"/>
            </a:ext>
          </a:extLst>
        </xdr:cNvPr>
        <xdr:cNvSpPr txBox="1"/>
      </xdr:nvSpPr>
      <xdr:spPr>
        <a:xfrm>
          <a:off x="6142699" y="87717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B7791CAE-D4B2-474F-9342-559C27FFBDD5}"/>
            </a:ext>
          </a:extLst>
        </xdr:cNvPr>
        <xdr:cNvSpPr txBox="1"/>
      </xdr:nvSpPr>
      <xdr:spPr>
        <a:xfrm>
          <a:off x="3027728" y="86880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40" name="ZoneTexte 39">
          <a:extLst>
            <a:ext uri="{FF2B5EF4-FFF2-40B4-BE49-F238E27FC236}">
              <a16:creationId xmlns:a16="http://schemas.microsoft.com/office/drawing/2014/main" id="{00E83404-5F03-44F4-9015-4320AA207B2D}"/>
            </a:ext>
          </a:extLst>
        </xdr:cNvPr>
        <xdr:cNvSpPr txBox="1"/>
      </xdr:nvSpPr>
      <xdr:spPr>
        <a:xfrm>
          <a:off x="5416280" y="87046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>
    <xdr:from>
      <xdr:col>8</xdr:col>
      <xdr:colOff>474980</xdr:colOff>
      <xdr:row>39</xdr:row>
      <xdr:rowOff>7620</xdr:rowOff>
    </xdr:from>
    <xdr:to>
      <xdr:col>8</xdr:col>
      <xdr:colOff>754380</xdr:colOff>
      <xdr:row>40</xdr:row>
      <xdr:rowOff>86360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EDFDE038-F011-482E-8CB7-2FB5F491C08F}"/>
            </a:ext>
          </a:extLst>
        </xdr:cNvPr>
        <xdr:cNvSpPr/>
      </xdr:nvSpPr>
      <xdr:spPr>
        <a:xfrm>
          <a:off x="7320280" y="72275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744220</xdr:colOff>
      <xdr:row>35</xdr:row>
      <xdr:rowOff>63500</xdr:rowOff>
    </xdr:from>
    <xdr:to>
      <xdr:col>8</xdr:col>
      <xdr:colOff>195580</xdr:colOff>
      <xdr:row>36</xdr:row>
      <xdr:rowOff>142240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3F3CCA12-548F-4EDB-9755-2AB53268A7B2}"/>
            </a:ext>
          </a:extLst>
        </xdr:cNvPr>
        <xdr:cNvSpPr/>
      </xdr:nvSpPr>
      <xdr:spPr>
        <a:xfrm>
          <a:off x="6827520" y="6540500"/>
          <a:ext cx="21336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708660</xdr:colOff>
      <xdr:row>32</xdr:row>
      <xdr:rowOff>121920</xdr:rowOff>
    </xdr:from>
    <xdr:to>
      <xdr:col>7</xdr:col>
      <xdr:colOff>160020</xdr:colOff>
      <xdr:row>34</xdr:row>
      <xdr:rowOff>12700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88FA3FBC-B179-46D2-8E7E-841658ADABD4}"/>
            </a:ext>
          </a:extLst>
        </xdr:cNvPr>
        <xdr:cNvSpPr/>
      </xdr:nvSpPr>
      <xdr:spPr>
        <a:xfrm>
          <a:off x="6029960" y="60401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31</xdr:row>
      <xdr:rowOff>144780</xdr:rowOff>
    </xdr:from>
    <xdr:to>
      <xdr:col>5</xdr:col>
      <xdr:colOff>266700</xdr:colOff>
      <xdr:row>33</xdr:row>
      <xdr:rowOff>35560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5597B3B0-F752-4E75-A248-1FF9D898C90F}"/>
            </a:ext>
          </a:extLst>
        </xdr:cNvPr>
        <xdr:cNvSpPr/>
      </xdr:nvSpPr>
      <xdr:spPr>
        <a:xfrm>
          <a:off x="4559300" y="5878830"/>
          <a:ext cx="2667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5080</xdr:colOff>
      <xdr:row>32</xdr:row>
      <xdr:rowOff>147320</xdr:rowOff>
    </xdr:from>
    <xdr:to>
      <xdr:col>3</xdr:col>
      <xdr:colOff>284480</xdr:colOff>
      <xdr:row>34</xdr:row>
      <xdr:rowOff>38100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C00EE3C0-6762-44AD-AB90-02BB1F2B8433}"/>
            </a:ext>
          </a:extLst>
        </xdr:cNvPr>
        <xdr:cNvSpPr/>
      </xdr:nvSpPr>
      <xdr:spPr>
        <a:xfrm>
          <a:off x="3040380" y="606552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787400</xdr:colOff>
      <xdr:row>35</xdr:row>
      <xdr:rowOff>63500</xdr:rowOff>
    </xdr:from>
    <xdr:to>
      <xdr:col>2</xdr:col>
      <xdr:colOff>1066800</xdr:colOff>
      <xdr:row>36</xdr:row>
      <xdr:rowOff>142240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7F5E46C4-2EF6-42E3-9BB8-62E4A5852A4C}"/>
            </a:ext>
          </a:extLst>
        </xdr:cNvPr>
        <xdr:cNvSpPr/>
      </xdr:nvSpPr>
      <xdr:spPr>
        <a:xfrm>
          <a:off x="2311400" y="65405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292100</xdr:colOff>
      <xdr:row>39</xdr:row>
      <xdr:rowOff>7620</xdr:rowOff>
    </xdr:from>
    <xdr:to>
      <xdr:col>2</xdr:col>
      <xdr:colOff>571500</xdr:colOff>
      <xdr:row>40</xdr:row>
      <xdr:rowOff>86360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792CA11A-670A-42B1-80EE-1752163E42C9}"/>
            </a:ext>
          </a:extLst>
        </xdr:cNvPr>
        <xdr:cNvSpPr/>
      </xdr:nvSpPr>
      <xdr:spPr>
        <a:xfrm>
          <a:off x="1816100" y="72275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1422400</xdr:colOff>
      <xdr:row>29</xdr:row>
      <xdr:rowOff>88900</xdr:rowOff>
    </xdr:from>
    <xdr:to>
      <xdr:col>3</xdr:col>
      <xdr:colOff>55880</xdr:colOff>
      <xdr:row>30</xdr:row>
      <xdr:rowOff>167640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1CCAAD55-0979-49AD-AD6B-8E2E4C733E42}"/>
            </a:ext>
          </a:extLst>
        </xdr:cNvPr>
        <xdr:cNvSpPr/>
      </xdr:nvSpPr>
      <xdr:spPr>
        <a:xfrm>
          <a:off x="2946400" y="5454650"/>
          <a:ext cx="14478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1117600</xdr:colOff>
      <xdr:row>25</xdr:row>
      <xdr:rowOff>182880</xdr:rowOff>
    </xdr:from>
    <xdr:to>
      <xdr:col>2</xdr:col>
      <xdr:colOff>1397000</xdr:colOff>
      <xdr:row>27</xdr:row>
      <xdr:rowOff>71120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91AC20B8-8C83-4ADD-902B-3D57EAD1EACF}"/>
            </a:ext>
          </a:extLst>
        </xdr:cNvPr>
        <xdr:cNvSpPr/>
      </xdr:nvSpPr>
      <xdr:spPr>
        <a:xfrm>
          <a:off x="2641600" y="4812030"/>
          <a:ext cx="2794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0</xdr:colOff>
      <xdr:row>24</xdr:row>
      <xdr:rowOff>114300</xdr:rowOff>
    </xdr:from>
    <xdr:to>
      <xdr:col>5</xdr:col>
      <xdr:colOff>279400</xdr:colOff>
      <xdr:row>26</xdr:row>
      <xdr:rowOff>5080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BC56D3CB-12C9-45C4-BBC8-9937A9620006}"/>
            </a:ext>
          </a:extLst>
        </xdr:cNvPr>
        <xdr:cNvSpPr/>
      </xdr:nvSpPr>
      <xdr:spPr>
        <a:xfrm>
          <a:off x="4559300" y="45593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515620</xdr:colOff>
      <xdr:row>26</xdr:row>
      <xdr:rowOff>43180</xdr:rowOff>
    </xdr:from>
    <xdr:to>
      <xdr:col>7</xdr:col>
      <xdr:colOff>792480</xdr:colOff>
      <xdr:row>27</xdr:row>
      <xdr:rowOff>121920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E7B05673-D6D4-45EB-A7BB-B7137130F74B}"/>
            </a:ext>
          </a:extLst>
        </xdr:cNvPr>
        <xdr:cNvSpPr/>
      </xdr:nvSpPr>
      <xdr:spPr>
        <a:xfrm>
          <a:off x="6598920" y="4856480"/>
          <a:ext cx="2451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223520</xdr:colOff>
      <xdr:row>29</xdr:row>
      <xdr:rowOff>63500</xdr:rowOff>
    </xdr:from>
    <xdr:to>
      <xdr:col>7</xdr:col>
      <xdr:colOff>502920</xdr:colOff>
      <xdr:row>30</xdr:row>
      <xdr:rowOff>142240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1BB476E7-41D4-44CC-B0D2-9134D4C62DFF}"/>
            </a:ext>
          </a:extLst>
        </xdr:cNvPr>
        <xdr:cNvSpPr/>
      </xdr:nvSpPr>
      <xdr:spPr>
        <a:xfrm>
          <a:off x="6306820" y="542925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787400</xdr:colOff>
      <xdr:row>28</xdr:row>
      <xdr:rowOff>22860</xdr:rowOff>
    </xdr:from>
    <xdr:to>
      <xdr:col>5</xdr:col>
      <xdr:colOff>241300</xdr:colOff>
      <xdr:row>29</xdr:row>
      <xdr:rowOff>101600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17988447-3308-4B5B-922F-00B533253D7C}"/>
            </a:ext>
          </a:extLst>
        </xdr:cNvPr>
        <xdr:cNvSpPr/>
      </xdr:nvSpPr>
      <xdr:spPr>
        <a:xfrm>
          <a:off x="4559300" y="5204460"/>
          <a:ext cx="2413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708660</xdr:colOff>
      <xdr:row>25</xdr:row>
      <xdr:rowOff>76200</xdr:rowOff>
    </xdr:from>
    <xdr:to>
      <xdr:col>10</xdr:col>
      <xdr:colOff>162560</xdr:colOff>
      <xdr:row>26</xdr:row>
      <xdr:rowOff>154940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22DCE3B0-D572-43C0-AB31-A698FAA376D1}"/>
            </a:ext>
          </a:extLst>
        </xdr:cNvPr>
        <xdr:cNvSpPr/>
      </xdr:nvSpPr>
      <xdr:spPr>
        <a:xfrm>
          <a:off x="8315960" y="4705350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647700</xdr:colOff>
      <xdr:row>21</xdr:row>
      <xdr:rowOff>139700</xdr:rowOff>
    </xdr:from>
    <xdr:to>
      <xdr:col>10</xdr:col>
      <xdr:colOff>255561</xdr:colOff>
      <xdr:row>23</xdr:row>
      <xdr:rowOff>57291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61911369-675E-4297-B08D-9E001662949A}"/>
            </a:ext>
          </a:extLst>
        </xdr:cNvPr>
        <xdr:cNvSpPr txBox="1"/>
      </xdr:nvSpPr>
      <xdr:spPr>
        <a:xfrm>
          <a:off x="8255000" y="40259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657523</xdr:colOff>
      <xdr:row>23</xdr:row>
      <xdr:rowOff>116240</xdr:rowOff>
    </xdr:from>
    <xdr:to>
      <xdr:col>10</xdr:col>
      <xdr:colOff>293661</xdr:colOff>
      <xdr:row>24</xdr:row>
      <xdr:rowOff>176671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060BFBC3-3F43-466A-A983-73C6D6EF9438}"/>
            </a:ext>
          </a:extLst>
        </xdr:cNvPr>
        <xdr:cNvSpPr txBox="1"/>
      </xdr:nvSpPr>
      <xdr:spPr>
        <a:xfrm>
          <a:off x="8264823" y="4377090"/>
          <a:ext cx="398138" cy="24458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781274</xdr:colOff>
      <xdr:row>47</xdr:row>
      <xdr:rowOff>61175</xdr:rowOff>
    </xdr:from>
    <xdr:to>
      <xdr:col>7</xdr:col>
      <xdr:colOff>235174</xdr:colOff>
      <xdr:row>48</xdr:row>
      <xdr:rowOff>139915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E8A02A1A-DE7B-4F44-8260-5CCE2D7CC822}"/>
            </a:ext>
          </a:extLst>
        </xdr:cNvPr>
        <xdr:cNvSpPr/>
      </xdr:nvSpPr>
      <xdr:spPr>
        <a:xfrm>
          <a:off x="6083524" y="8760675"/>
          <a:ext cx="2349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687294</xdr:colOff>
      <xdr:row>47</xdr:row>
      <xdr:rowOff>61175</xdr:rowOff>
    </xdr:from>
    <xdr:to>
      <xdr:col>4</xdr:col>
      <xdr:colOff>141194</xdr:colOff>
      <xdr:row>48</xdr:row>
      <xdr:rowOff>139915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52D53C90-E217-417E-9C4F-6256B55C24BE}"/>
            </a:ext>
          </a:extLst>
        </xdr:cNvPr>
        <xdr:cNvSpPr/>
      </xdr:nvSpPr>
      <xdr:spPr>
        <a:xfrm>
          <a:off x="3722594" y="8760675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304800</xdr:colOff>
      <xdr:row>21</xdr:row>
      <xdr:rowOff>177800</xdr:rowOff>
    </xdr:from>
    <xdr:to>
      <xdr:col>11</xdr:col>
      <xdr:colOff>95171</xdr:colOff>
      <xdr:row>23</xdr:row>
      <xdr:rowOff>82002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17C46A0A-775A-40E2-80B5-B00D2C2A27CF}"/>
            </a:ext>
          </a:extLst>
        </xdr:cNvPr>
        <xdr:cNvSpPr txBox="1"/>
      </xdr:nvSpPr>
      <xdr:spPr>
        <a:xfrm>
          <a:off x="8674100" y="4064000"/>
          <a:ext cx="552371" cy="2788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304800</xdr:colOff>
      <xdr:row>23</xdr:row>
      <xdr:rowOff>124647</xdr:rowOff>
    </xdr:from>
    <xdr:to>
      <xdr:col>11</xdr:col>
      <xdr:colOff>487146</xdr:colOff>
      <xdr:row>25</xdr:row>
      <xdr:rowOff>61618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0AFA9FF2-F2A5-4E1B-ACD1-425FA6C6F59B}"/>
            </a:ext>
          </a:extLst>
        </xdr:cNvPr>
        <xdr:cNvSpPr txBox="1"/>
      </xdr:nvSpPr>
      <xdr:spPr>
        <a:xfrm>
          <a:off x="8674100" y="43854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304800</xdr:colOff>
      <xdr:row>25</xdr:row>
      <xdr:rowOff>88586</xdr:rowOff>
    </xdr:from>
    <xdr:to>
      <xdr:col>11</xdr:col>
      <xdr:colOff>408751</xdr:colOff>
      <xdr:row>27</xdr:row>
      <xdr:rowOff>41236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D12F08C3-BF55-4FB5-BCEE-11A52EAE7130}"/>
            </a:ext>
          </a:extLst>
        </xdr:cNvPr>
        <xdr:cNvSpPr txBox="1"/>
      </xdr:nvSpPr>
      <xdr:spPr>
        <a:xfrm>
          <a:off x="8674100" y="47177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1139266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7ACDC9C5-1AF4-4DD6-B412-0A3D77B35EA0}"/>
            </a:ext>
          </a:extLst>
        </xdr:cNvPr>
        <xdr:cNvSpPr/>
      </xdr:nvSpPr>
      <xdr:spPr>
        <a:xfrm>
          <a:off x="812004" y="2583942"/>
          <a:ext cx="1476612" cy="51187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Justicia T.</a:t>
          </a:r>
        </a:p>
      </xdr:txBody>
    </xdr:sp>
    <xdr:clientData/>
  </xdr:twoCellAnchor>
  <xdr:oneCellAnchor>
    <xdr:from>
      <xdr:col>1</xdr:col>
      <xdr:colOff>56029</xdr:colOff>
      <xdr:row>20</xdr:row>
      <xdr:rowOff>59681</xdr:rowOff>
    </xdr:from>
    <xdr:ext cx="8817268" cy="5706708"/>
    <xdr:pic>
      <xdr:nvPicPr>
        <xdr:cNvPr id="3" name="Image 2">
          <a:extLst>
            <a:ext uri="{FF2B5EF4-FFF2-40B4-BE49-F238E27FC236}">
              <a16:creationId xmlns:a16="http://schemas.microsoft.com/office/drawing/2014/main" id="{74EE8B45-2A98-474E-94D9-B1CD2EF96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42681"/>
          <a:ext cx="8817268" cy="5706708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one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0C7B1733-BF0E-4B38-BF60-A41216EDB2B5}"/>
            </a:ext>
          </a:extLst>
        </xdr:cNvPr>
        <xdr:cNvSpPr txBox="1"/>
      </xdr:nvSpPr>
      <xdr:spPr>
        <a:xfrm>
          <a:off x="6858629" y="58437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A3217C24-70C3-4500-8708-1728CA6D4E98}"/>
            </a:ext>
          </a:extLst>
        </xdr:cNvPr>
        <xdr:cNvSpPr txBox="1"/>
      </xdr:nvSpPr>
      <xdr:spPr>
        <a:xfrm>
          <a:off x="6856187" y="52171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5C1EACD2-F727-4EC9-8703-01C6E1A5CFFB}"/>
            </a:ext>
          </a:extLst>
        </xdr:cNvPr>
        <xdr:cNvSpPr txBox="1"/>
      </xdr:nvSpPr>
      <xdr:spPr>
        <a:xfrm>
          <a:off x="6858868" y="46000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09B577A7-9203-41F8-B970-CC1426D55CF8}"/>
            </a:ext>
          </a:extLst>
        </xdr:cNvPr>
        <xdr:cNvSpPr txBox="1"/>
      </xdr:nvSpPr>
      <xdr:spPr>
        <a:xfrm>
          <a:off x="892324" y="3837856"/>
          <a:ext cx="7937912" cy="67793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BEDBA726-6280-470F-96C2-FE81501B6AC7}"/>
            </a:ext>
          </a:extLst>
        </xdr:cNvPr>
        <xdr:cNvSpPr txBox="1"/>
      </xdr:nvSpPr>
      <xdr:spPr>
        <a:xfrm>
          <a:off x="3656349" y="884099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7FD9BAC7-A22A-435D-B2F7-608FF43686D0}"/>
            </a:ext>
          </a:extLst>
        </xdr:cNvPr>
        <xdr:cNvSpPr txBox="1"/>
      </xdr:nvSpPr>
      <xdr:spPr>
        <a:xfrm>
          <a:off x="6025522" y="884099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50%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746349</xdr:colOff>
      <xdr:row>28</xdr:row>
      <xdr:rowOff>184645</xdr:rowOff>
    </xdr:from>
    <xdr:to>
      <xdr:col>6</xdr:col>
      <xdr:colOff>663824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BA088867-3DEC-4DBF-A69D-51C743E03DE9}"/>
            </a:ext>
          </a:extLst>
        </xdr:cNvPr>
        <xdr:cNvSpPr txBox="1"/>
      </xdr:nvSpPr>
      <xdr:spPr>
        <a:xfrm>
          <a:off x="4556349" y="53408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25,0%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4E9E65D6-6CD5-4E61-A203-6429CFBBA380}"/>
            </a:ext>
          </a:extLst>
        </xdr:cNvPr>
        <xdr:cNvSpPr txBox="1"/>
      </xdr:nvSpPr>
      <xdr:spPr>
        <a:xfrm>
          <a:off x="6212354" y="55980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61008835-F4BC-439B-B364-2035EF53CD15}"/>
            </a:ext>
          </a:extLst>
        </xdr:cNvPr>
        <xdr:cNvSpPr txBox="1"/>
      </xdr:nvSpPr>
      <xdr:spPr>
        <a:xfrm>
          <a:off x="2814364" y="55326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AFC007AA-59A7-4B21-B2A6-D04EF3936A06}"/>
            </a:ext>
          </a:extLst>
        </xdr:cNvPr>
        <xdr:cNvSpPr txBox="1"/>
      </xdr:nvSpPr>
      <xdr:spPr>
        <a:xfrm>
          <a:off x="6441977" y="49908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670318</xdr:colOff>
      <xdr:row>25</xdr:row>
      <xdr:rowOff>116358</xdr:rowOff>
    </xdr:from>
    <xdr:to>
      <xdr:col>6</xdr:col>
      <xdr:colOff>625494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96F07863-79CF-4848-AF52-900086E65020}"/>
            </a:ext>
          </a:extLst>
        </xdr:cNvPr>
        <xdr:cNvSpPr txBox="1"/>
      </xdr:nvSpPr>
      <xdr:spPr>
        <a:xfrm>
          <a:off x="4480318" y="47201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29%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0BDA8C36-666D-4980-86C1-ECA0794EAE47}"/>
            </a:ext>
          </a:extLst>
        </xdr:cNvPr>
        <xdr:cNvSpPr txBox="1"/>
      </xdr:nvSpPr>
      <xdr:spPr>
        <a:xfrm>
          <a:off x="2390610" y="49445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50%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AB4A8AA7-2184-4F53-AD64-B46CE1315C3F}"/>
            </a:ext>
          </a:extLst>
        </xdr:cNvPr>
        <xdr:cNvSpPr txBox="1"/>
      </xdr:nvSpPr>
      <xdr:spPr>
        <a:xfrm>
          <a:off x="7177056" y="7326991"/>
          <a:ext cx="692738" cy="31720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50%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6A1A29C8-F487-4E99-9373-1AF1140752C1}"/>
            </a:ext>
          </a:extLst>
        </xdr:cNvPr>
        <xdr:cNvSpPr txBox="1"/>
      </xdr:nvSpPr>
      <xdr:spPr>
        <a:xfrm>
          <a:off x="6725657" y="6654647"/>
          <a:ext cx="690453" cy="32144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100%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AF04258A-5619-4944-8326-18EE6C375DF3}"/>
            </a:ext>
          </a:extLst>
        </xdr:cNvPr>
        <xdr:cNvSpPr txBox="1"/>
      </xdr:nvSpPr>
      <xdr:spPr>
        <a:xfrm>
          <a:off x="5911416" y="6164163"/>
          <a:ext cx="682454" cy="30971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DCE49A05-8977-48DC-AD0E-862AAF26CEFC}"/>
            </a:ext>
          </a:extLst>
        </xdr:cNvPr>
        <xdr:cNvSpPr txBox="1"/>
      </xdr:nvSpPr>
      <xdr:spPr>
        <a:xfrm>
          <a:off x="4513085" y="59837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F6E677D8-720A-4C0D-97FB-09FF4D5A94CE}"/>
            </a:ext>
          </a:extLst>
        </xdr:cNvPr>
        <xdr:cNvSpPr txBox="1"/>
      </xdr:nvSpPr>
      <xdr:spPr>
        <a:xfrm>
          <a:off x="3002862" y="6149274"/>
          <a:ext cx="681521" cy="31585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37351736-AC4F-4B3E-A8A2-085DC662C9E9}"/>
            </a:ext>
          </a:extLst>
        </xdr:cNvPr>
        <xdr:cNvSpPr txBox="1"/>
      </xdr:nvSpPr>
      <xdr:spPr>
        <a:xfrm>
          <a:off x="2285401" y="6651282"/>
          <a:ext cx="574912" cy="31803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B3BFDB2F-F429-4F5A-88B1-A5333729045D}"/>
            </a:ext>
          </a:extLst>
        </xdr:cNvPr>
        <xdr:cNvSpPr txBox="1"/>
      </xdr:nvSpPr>
      <xdr:spPr>
        <a:xfrm>
          <a:off x="2283389" y="7336104"/>
          <a:ext cx="21694" cy="31720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1905CD33-0689-4156-BC81-8A44F5303708}"/>
            </a:ext>
          </a:extLst>
        </xdr:cNvPr>
        <xdr:cNvSpPr txBox="1"/>
      </xdr:nvSpPr>
      <xdr:spPr>
        <a:xfrm>
          <a:off x="6672067" y="7196365"/>
          <a:ext cx="700367" cy="5767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7,4%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662741A0-F418-487C-8AF5-399AB755EDA7}"/>
            </a:ext>
          </a:extLst>
        </xdr:cNvPr>
        <xdr:cNvSpPr txBox="1"/>
      </xdr:nvSpPr>
      <xdr:spPr>
        <a:xfrm>
          <a:off x="6161274" y="6530627"/>
          <a:ext cx="697768" cy="57441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3,7%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E2A7A73C-7907-4846-BEDC-8C21B5D1C012}"/>
            </a:ext>
          </a:extLst>
        </xdr:cNvPr>
        <xdr:cNvSpPr txBox="1"/>
      </xdr:nvSpPr>
      <xdr:spPr>
        <a:xfrm>
          <a:off x="5350756" y="6026188"/>
          <a:ext cx="738495" cy="57441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3,7%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DCABE605-355C-4694-BC76-180FDE7F5422}"/>
            </a:ext>
          </a:extLst>
        </xdr:cNvPr>
        <xdr:cNvSpPr txBox="1"/>
      </xdr:nvSpPr>
      <xdr:spPr>
        <a:xfrm>
          <a:off x="3955960" y="58484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11,1%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EAA3B01C-02E7-4AAD-8979-205F25CE868A}"/>
            </a:ext>
          </a:extLst>
        </xdr:cNvPr>
        <xdr:cNvSpPr txBox="1"/>
      </xdr:nvSpPr>
      <xdr:spPr>
        <a:xfrm>
          <a:off x="2445737" y="6025254"/>
          <a:ext cx="681521" cy="57441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AB6C027D-1522-4C02-BB84-129FEAD82160}"/>
            </a:ext>
          </a:extLst>
        </xdr:cNvPr>
        <xdr:cNvSpPr txBox="1"/>
      </xdr:nvSpPr>
      <xdr:spPr>
        <a:xfrm>
          <a:off x="2287844" y="6513624"/>
          <a:ext cx="15344" cy="58463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3,7%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127000</xdr:colOff>
      <xdr:row>28</xdr:row>
      <xdr:rowOff>50213</xdr:rowOff>
    </xdr:from>
    <xdr:to>
      <xdr:col>6</xdr:col>
      <xdr:colOff>88463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6F3D6F28-719E-49C9-BCAB-992CB436BA66}"/>
            </a:ext>
          </a:extLst>
        </xdr:cNvPr>
        <xdr:cNvSpPr txBox="1"/>
      </xdr:nvSpPr>
      <xdr:spPr>
        <a:xfrm>
          <a:off x="3937000" y="5206413"/>
          <a:ext cx="723463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11,1%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11A3A87B-F063-4066-9C46-80B6555D8CC1}"/>
            </a:ext>
          </a:extLst>
        </xdr:cNvPr>
        <xdr:cNvSpPr txBox="1"/>
      </xdr:nvSpPr>
      <xdr:spPr>
        <a:xfrm>
          <a:off x="5673125" y="54729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3,7%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B49E9D04-C4E4-4294-9F96-69C84BC7293F}"/>
            </a:ext>
          </a:extLst>
        </xdr:cNvPr>
        <xdr:cNvSpPr txBox="1"/>
      </xdr:nvSpPr>
      <xdr:spPr>
        <a:xfrm>
          <a:off x="2286519" y="54008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11,1%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59625C76-D66B-4F09-80E6-3B4E141F600E}"/>
            </a:ext>
          </a:extLst>
        </xdr:cNvPr>
        <xdr:cNvSpPr txBox="1"/>
      </xdr:nvSpPr>
      <xdr:spPr>
        <a:xfrm>
          <a:off x="1916206" y="7205478"/>
          <a:ext cx="372800" cy="5767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3,7%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558FD0C0-D0AE-4F9D-A088-A4BDBF22A58A}"/>
            </a:ext>
          </a:extLst>
        </xdr:cNvPr>
        <xdr:cNvSpPr txBox="1"/>
      </xdr:nvSpPr>
      <xdr:spPr>
        <a:xfrm>
          <a:off x="5965085" y="48760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127149</xdr:colOff>
      <xdr:row>24</xdr:row>
      <xdr:rowOff>171740</xdr:rowOff>
    </xdr:from>
    <xdr:to>
      <xdr:col>6</xdr:col>
      <xdr:colOff>79720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1760811E-D9C9-47B6-B8F5-DC0B1C01B89B}"/>
            </a:ext>
          </a:extLst>
        </xdr:cNvPr>
        <xdr:cNvSpPr txBox="1"/>
      </xdr:nvSpPr>
      <xdr:spPr>
        <a:xfrm>
          <a:off x="3937149" y="45913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25,9%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59D71D46-0C41-41AF-A98C-0FC767797C16}"/>
            </a:ext>
          </a:extLst>
        </xdr:cNvPr>
        <xdr:cNvSpPr txBox="1"/>
      </xdr:nvSpPr>
      <xdr:spPr>
        <a:xfrm>
          <a:off x="2288145" y="4817965"/>
          <a:ext cx="3459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7,4%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BA8FAF45-4E18-4E29-830A-4DA1AA771B33}"/>
            </a:ext>
          </a:extLst>
        </xdr:cNvPr>
        <xdr:cNvSpPr txBox="1"/>
      </xdr:nvSpPr>
      <xdr:spPr>
        <a:xfrm>
          <a:off x="3052604" y="870678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0329E89B-2437-4899-8D29-DB2DD2D2199A}"/>
            </a:ext>
          </a:extLst>
        </xdr:cNvPr>
        <xdr:cNvSpPr txBox="1"/>
      </xdr:nvSpPr>
      <xdr:spPr>
        <a:xfrm>
          <a:off x="5393399" y="872729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7,4%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4A70F3D4-47B6-4192-B035-E05F3728DE4B}"/>
            </a:ext>
          </a:extLst>
        </xdr:cNvPr>
        <xdr:cNvSpPr txBox="1"/>
      </xdr:nvSpPr>
      <xdr:spPr>
        <a:xfrm>
          <a:off x="2284778" y="8643632"/>
          <a:ext cx="92636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5EC6589B-3EB6-4997-B19E-918EBB303D5D}"/>
            </a:ext>
          </a:extLst>
        </xdr:cNvPr>
        <xdr:cNvSpPr txBox="1"/>
      </xdr:nvSpPr>
      <xdr:spPr>
        <a:xfrm>
          <a:off x="4666980" y="866016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oneCellAnchor>
    <xdr:from>
      <xdr:col>1</xdr:col>
      <xdr:colOff>0</xdr:colOff>
      <xdr:row>2</xdr:row>
      <xdr:rowOff>0</xdr:rowOff>
    </xdr:from>
    <xdr:ext cx="1860473" cy="2060388"/>
    <xdr:pic>
      <xdr:nvPicPr>
        <xdr:cNvPr id="40" name="Image 39">
          <a:extLst>
            <a:ext uri="{FF2B5EF4-FFF2-40B4-BE49-F238E27FC236}">
              <a16:creationId xmlns:a16="http://schemas.microsoft.com/office/drawing/2014/main" id="{3CA9AF4E-C683-4061-9EE0-A6F28F64E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368300"/>
          <a:ext cx="1860473" cy="2060388"/>
        </a:xfrm>
        <a:prstGeom prst="rect">
          <a:avLst/>
        </a:prstGeom>
      </xdr:spPr>
    </xdr:pic>
    <xdr:clientData/>
  </xdr:oneCellAnchor>
  <xdr:twoCellAnchor>
    <xdr:from>
      <xdr:col>8</xdr:col>
      <xdr:colOff>474980</xdr:colOff>
      <xdr:row>38</xdr:row>
      <xdr:rowOff>172720</xdr:rowOff>
    </xdr:from>
    <xdr:to>
      <xdr:col>8</xdr:col>
      <xdr:colOff>754380</xdr:colOff>
      <xdr:row>40</xdr:row>
      <xdr:rowOff>60960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A41BD656-30C5-46F6-893A-42882F1A4DE4}"/>
            </a:ext>
          </a:extLst>
        </xdr:cNvPr>
        <xdr:cNvSpPr/>
      </xdr:nvSpPr>
      <xdr:spPr>
        <a:xfrm>
          <a:off x="6570980" y="7170420"/>
          <a:ext cx="2794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744220</xdr:colOff>
      <xdr:row>35</xdr:row>
      <xdr:rowOff>38100</xdr:rowOff>
    </xdr:from>
    <xdr:to>
      <xdr:col>8</xdr:col>
      <xdr:colOff>195580</xdr:colOff>
      <xdr:row>36</xdr:row>
      <xdr:rowOff>116840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7B145AA7-6690-45E1-B9D8-A5926DA7CE23}"/>
            </a:ext>
          </a:extLst>
        </xdr:cNvPr>
        <xdr:cNvSpPr/>
      </xdr:nvSpPr>
      <xdr:spPr>
        <a:xfrm>
          <a:off x="6078220" y="6483350"/>
          <a:ext cx="21336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708660</xdr:colOff>
      <xdr:row>32</xdr:row>
      <xdr:rowOff>96520</xdr:rowOff>
    </xdr:from>
    <xdr:to>
      <xdr:col>7</xdr:col>
      <xdr:colOff>160020</xdr:colOff>
      <xdr:row>33</xdr:row>
      <xdr:rowOff>177800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80D7C953-9B85-48F7-B12A-F4C542F4781B}"/>
            </a:ext>
          </a:extLst>
        </xdr:cNvPr>
        <xdr:cNvSpPr/>
      </xdr:nvSpPr>
      <xdr:spPr>
        <a:xfrm>
          <a:off x="5280660" y="5989320"/>
          <a:ext cx="21336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31</xdr:row>
      <xdr:rowOff>119380</xdr:rowOff>
    </xdr:from>
    <xdr:to>
      <xdr:col>5</xdr:col>
      <xdr:colOff>266700</xdr:colOff>
      <xdr:row>33</xdr:row>
      <xdr:rowOff>10160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69AF070D-35CC-4994-9BAA-951F38F3C557}"/>
            </a:ext>
          </a:extLst>
        </xdr:cNvPr>
        <xdr:cNvSpPr/>
      </xdr:nvSpPr>
      <xdr:spPr>
        <a:xfrm>
          <a:off x="3810000" y="5828030"/>
          <a:ext cx="2667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3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5080</xdr:colOff>
      <xdr:row>32</xdr:row>
      <xdr:rowOff>121920</xdr:rowOff>
    </xdr:from>
    <xdr:to>
      <xdr:col>3</xdr:col>
      <xdr:colOff>284480</xdr:colOff>
      <xdr:row>34</xdr:row>
      <xdr:rowOff>12700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7814A900-FB36-4E15-9A76-44865E5ABFD3}"/>
            </a:ext>
          </a:extLst>
        </xdr:cNvPr>
        <xdr:cNvSpPr/>
      </xdr:nvSpPr>
      <xdr:spPr>
        <a:xfrm>
          <a:off x="2291080" y="601472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787400</xdr:colOff>
      <xdr:row>35</xdr:row>
      <xdr:rowOff>38100</xdr:rowOff>
    </xdr:from>
    <xdr:to>
      <xdr:col>2</xdr:col>
      <xdr:colOff>1066800</xdr:colOff>
      <xdr:row>36</xdr:row>
      <xdr:rowOff>116840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452336D6-6FA6-4544-BC6A-0E7D188DB607}"/>
            </a:ext>
          </a:extLst>
        </xdr:cNvPr>
        <xdr:cNvSpPr/>
      </xdr:nvSpPr>
      <xdr:spPr>
        <a:xfrm>
          <a:off x="2286000" y="6483350"/>
          <a:ext cx="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292100</xdr:colOff>
      <xdr:row>38</xdr:row>
      <xdr:rowOff>172720</xdr:rowOff>
    </xdr:from>
    <xdr:to>
      <xdr:col>2</xdr:col>
      <xdr:colOff>571500</xdr:colOff>
      <xdr:row>40</xdr:row>
      <xdr:rowOff>60960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151F0445-72A3-4ECA-B7A3-A9161F4F6600}"/>
            </a:ext>
          </a:extLst>
        </xdr:cNvPr>
        <xdr:cNvSpPr/>
      </xdr:nvSpPr>
      <xdr:spPr>
        <a:xfrm>
          <a:off x="1816100" y="7170420"/>
          <a:ext cx="2794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1422400</xdr:colOff>
      <xdr:row>29</xdr:row>
      <xdr:rowOff>63500</xdr:rowOff>
    </xdr:from>
    <xdr:to>
      <xdr:col>3</xdr:col>
      <xdr:colOff>55880</xdr:colOff>
      <xdr:row>30</xdr:row>
      <xdr:rowOff>142240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E2FDD46F-81C5-459B-A560-2D262614F832}"/>
            </a:ext>
          </a:extLst>
        </xdr:cNvPr>
        <xdr:cNvSpPr/>
      </xdr:nvSpPr>
      <xdr:spPr>
        <a:xfrm>
          <a:off x="2286000" y="5403850"/>
          <a:ext cx="5588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3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1117600</xdr:colOff>
      <xdr:row>25</xdr:row>
      <xdr:rowOff>157480</xdr:rowOff>
    </xdr:from>
    <xdr:to>
      <xdr:col>2</xdr:col>
      <xdr:colOff>1397000</xdr:colOff>
      <xdr:row>27</xdr:row>
      <xdr:rowOff>45720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89625974-05D0-4F64-94A3-6FB434996B61}"/>
            </a:ext>
          </a:extLst>
        </xdr:cNvPr>
        <xdr:cNvSpPr/>
      </xdr:nvSpPr>
      <xdr:spPr>
        <a:xfrm>
          <a:off x="2286000" y="4761230"/>
          <a:ext cx="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0</xdr:colOff>
      <xdr:row>24</xdr:row>
      <xdr:rowOff>88900</xdr:rowOff>
    </xdr:from>
    <xdr:to>
      <xdr:col>5</xdr:col>
      <xdr:colOff>279400</xdr:colOff>
      <xdr:row>25</xdr:row>
      <xdr:rowOff>170180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3EBB78A7-4957-4E1F-B291-5441170F6289}"/>
            </a:ext>
          </a:extLst>
        </xdr:cNvPr>
        <xdr:cNvSpPr/>
      </xdr:nvSpPr>
      <xdr:spPr>
        <a:xfrm>
          <a:off x="3810000" y="450850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7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515620</xdr:colOff>
      <xdr:row>26</xdr:row>
      <xdr:rowOff>17780</xdr:rowOff>
    </xdr:from>
    <xdr:to>
      <xdr:col>7</xdr:col>
      <xdr:colOff>792480</xdr:colOff>
      <xdr:row>27</xdr:row>
      <xdr:rowOff>96520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37F8637D-D1E0-4E86-8288-D70751FB6AF1}"/>
            </a:ext>
          </a:extLst>
        </xdr:cNvPr>
        <xdr:cNvSpPr/>
      </xdr:nvSpPr>
      <xdr:spPr>
        <a:xfrm>
          <a:off x="5849620" y="4805680"/>
          <a:ext cx="2451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223520</xdr:colOff>
      <xdr:row>29</xdr:row>
      <xdr:rowOff>38100</xdr:rowOff>
    </xdr:from>
    <xdr:to>
      <xdr:col>7</xdr:col>
      <xdr:colOff>502920</xdr:colOff>
      <xdr:row>30</xdr:row>
      <xdr:rowOff>116840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B86F3F6C-98DB-40BB-A74C-A8ADF6562ACF}"/>
            </a:ext>
          </a:extLst>
        </xdr:cNvPr>
        <xdr:cNvSpPr/>
      </xdr:nvSpPr>
      <xdr:spPr>
        <a:xfrm>
          <a:off x="5557520" y="537845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787400</xdr:colOff>
      <xdr:row>27</xdr:row>
      <xdr:rowOff>187960</xdr:rowOff>
    </xdr:from>
    <xdr:to>
      <xdr:col>5</xdr:col>
      <xdr:colOff>241300</xdr:colOff>
      <xdr:row>29</xdr:row>
      <xdr:rowOff>76200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8FC8A969-321E-4EB8-B37B-5BBDCFFDE8F9}"/>
            </a:ext>
          </a:extLst>
        </xdr:cNvPr>
        <xdr:cNvSpPr/>
      </xdr:nvSpPr>
      <xdr:spPr>
        <a:xfrm>
          <a:off x="3810000" y="5153660"/>
          <a:ext cx="2413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3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787400</xdr:colOff>
      <xdr:row>47</xdr:row>
      <xdr:rowOff>43180</xdr:rowOff>
    </xdr:from>
    <xdr:to>
      <xdr:col>7</xdr:col>
      <xdr:colOff>241300</xdr:colOff>
      <xdr:row>48</xdr:row>
      <xdr:rowOff>121920</xdr:rowOff>
    </xdr:to>
    <xdr:sp macro="" textlink="$R$18">
      <xdr:nvSpPr>
        <xdr:cNvPr id="54" name="Décagone 53">
          <a:extLst>
            <a:ext uri="{FF2B5EF4-FFF2-40B4-BE49-F238E27FC236}">
              <a16:creationId xmlns:a16="http://schemas.microsoft.com/office/drawing/2014/main" id="{4BA79C50-A71E-40F1-B9B1-B6E454298F28}"/>
            </a:ext>
          </a:extLst>
        </xdr:cNvPr>
        <xdr:cNvSpPr/>
      </xdr:nvSpPr>
      <xdr:spPr>
        <a:xfrm>
          <a:off x="5334000" y="8698230"/>
          <a:ext cx="2413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693420</xdr:colOff>
      <xdr:row>47</xdr:row>
      <xdr:rowOff>43180</xdr:rowOff>
    </xdr:from>
    <xdr:to>
      <xdr:col>4</xdr:col>
      <xdr:colOff>147320</xdr:colOff>
      <xdr:row>48</xdr:row>
      <xdr:rowOff>121920</xdr:rowOff>
    </xdr:to>
    <xdr:sp macro="" textlink="$R$17">
      <xdr:nvSpPr>
        <xdr:cNvPr id="55" name="Décagone 54">
          <a:extLst>
            <a:ext uri="{FF2B5EF4-FFF2-40B4-BE49-F238E27FC236}">
              <a16:creationId xmlns:a16="http://schemas.microsoft.com/office/drawing/2014/main" id="{61D7CD43-C2CE-49DD-81A0-2D67A143F12C}"/>
            </a:ext>
          </a:extLst>
        </xdr:cNvPr>
        <xdr:cNvSpPr/>
      </xdr:nvSpPr>
      <xdr:spPr>
        <a:xfrm>
          <a:off x="2979420" y="8698230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708660</xdr:colOff>
      <xdr:row>25</xdr:row>
      <xdr:rowOff>50800</xdr:rowOff>
    </xdr:from>
    <xdr:to>
      <xdr:col>10</xdr:col>
      <xdr:colOff>162560</xdr:colOff>
      <xdr:row>26</xdr:row>
      <xdr:rowOff>129540</xdr:rowOff>
    </xdr:to>
    <xdr:sp macro="" textlink="">
      <xdr:nvSpPr>
        <xdr:cNvPr id="56" name="Décagone 55">
          <a:extLst>
            <a:ext uri="{FF2B5EF4-FFF2-40B4-BE49-F238E27FC236}">
              <a16:creationId xmlns:a16="http://schemas.microsoft.com/office/drawing/2014/main" id="{BCD44E36-8764-45EF-9447-4CAF72ABCCA5}"/>
            </a:ext>
          </a:extLst>
        </xdr:cNvPr>
        <xdr:cNvSpPr/>
      </xdr:nvSpPr>
      <xdr:spPr>
        <a:xfrm>
          <a:off x="7566660" y="4654550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647700</xdr:colOff>
      <xdr:row>21</xdr:row>
      <xdr:rowOff>114300</xdr:rowOff>
    </xdr:from>
    <xdr:to>
      <xdr:col>10</xdr:col>
      <xdr:colOff>255561</xdr:colOff>
      <xdr:row>23</xdr:row>
      <xdr:rowOff>31891</xdr:rowOff>
    </xdr:to>
    <xdr:sp macro="" textlink="">
      <xdr:nvSpPr>
        <xdr:cNvPr id="57" name="ZoneTexte 56">
          <a:extLst>
            <a:ext uri="{FF2B5EF4-FFF2-40B4-BE49-F238E27FC236}">
              <a16:creationId xmlns:a16="http://schemas.microsoft.com/office/drawing/2014/main" id="{8E5ED784-BBF0-4C4A-B3FB-4BB8386CE34B}"/>
            </a:ext>
          </a:extLst>
        </xdr:cNvPr>
        <xdr:cNvSpPr txBox="1"/>
      </xdr:nvSpPr>
      <xdr:spPr>
        <a:xfrm>
          <a:off x="7505700" y="3981450"/>
          <a:ext cx="369861" cy="28589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657523</xdr:colOff>
      <xdr:row>23</xdr:row>
      <xdr:rowOff>90840</xdr:rowOff>
    </xdr:from>
    <xdr:to>
      <xdr:col>10</xdr:col>
      <xdr:colOff>293661</xdr:colOff>
      <xdr:row>24</xdr:row>
      <xdr:rowOff>151271</xdr:rowOff>
    </xdr:to>
    <xdr:sp macro="" textlink="$R$56">
      <xdr:nvSpPr>
        <xdr:cNvPr id="58" name="ZoneTexte 57">
          <a:extLst>
            <a:ext uri="{FF2B5EF4-FFF2-40B4-BE49-F238E27FC236}">
              <a16:creationId xmlns:a16="http://schemas.microsoft.com/office/drawing/2014/main" id="{D1D814D4-01C3-4BD7-B2AC-D74F11E36FBF}"/>
            </a:ext>
          </a:extLst>
        </xdr:cNvPr>
        <xdr:cNvSpPr txBox="1"/>
      </xdr:nvSpPr>
      <xdr:spPr>
        <a:xfrm>
          <a:off x="7515523" y="4326290"/>
          <a:ext cx="398138" cy="24458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342900</xdr:colOff>
      <xdr:row>21</xdr:row>
      <xdr:rowOff>139700</xdr:rowOff>
    </xdr:from>
    <xdr:to>
      <xdr:col>11</xdr:col>
      <xdr:colOff>133271</xdr:colOff>
      <xdr:row>23</xdr:row>
      <xdr:rowOff>43902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2CE0F892-DE88-4EBC-AB33-A11C6532A19C}"/>
            </a:ext>
          </a:extLst>
        </xdr:cNvPr>
        <xdr:cNvSpPr txBox="1"/>
      </xdr:nvSpPr>
      <xdr:spPr>
        <a:xfrm>
          <a:off x="7962900" y="4006850"/>
          <a:ext cx="552371" cy="27250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342900</xdr:colOff>
      <xdr:row>23</xdr:row>
      <xdr:rowOff>86547</xdr:rowOff>
    </xdr:from>
    <xdr:to>
      <xdr:col>11</xdr:col>
      <xdr:colOff>525246</xdr:colOff>
      <xdr:row>25</xdr:row>
      <xdr:rowOff>23518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FCFCB2A5-6C1F-4205-9D94-F1806723A088}"/>
            </a:ext>
          </a:extLst>
        </xdr:cNvPr>
        <xdr:cNvSpPr txBox="1"/>
      </xdr:nvSpPr>
      <xdr:spPr>
        <a:xfrm>
          <a:off x="7962900" y="43219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342900</xdr:colOff>
      <xdr:row>25</xdr:row>
      <xdr:rowOff>50486</xdr:rowOff>
    </xdr:from>
    <xdr:to>
      <xdr:col>11</xdr:col>
      <xdr:colOff>446851</xdr:colOff>
      <xdr:row>27</xdr:row>
      <xdr:rowOff>3136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3CFB25EF-650E-4606-92AD-666FB1E2CD8E}"/>
            </a:ext>
          </a:extLst>
        </xdr:cNvPr>
        <xdr:cNvSpPr txBox="1"/>
      </xdr:nvSpPr>
      <xdr:spPr>
        <a:xfrm>
          <a:off x="7962900" y="46542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1139266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9813E44C-FC8C-4B26-AD82-94DE58819A9A}"/>
            </a:ext>
          </a:extLst>
        </xdr:cNvPr>
        <xdr:cNvSpPr/>
      </xdr:nvSpPr>
      <xdr:spPr>
        <a:xfrm>
          <a:off x="812004" y="2590292"/>
          <a:ext cx="1851262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Justicia T.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19639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13039E0-1B6F-465D-A49F-F4E886332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706708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26122053-B170-4839-8111-D4B229B87A56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6C043C0D-EE27-40AB-B04C-E264D1527360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AF0D6111-2612-459E-A75C-7EB9CD573A44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F43D027E-E6C7-4E6A-AB69-FDE830F4C8F5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B89F94F9-1F95-483C-B5A6-8EA1DF950FD3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F359FAF9-AB3C-4D8E-987A-98641125E597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746349</xdr:colOff>
      <xdr:row>28</xdr:row>
      <xdr:rowOff>184645</xdr:rowOff>
    </xdr:from>
    <xdr:to>
      <xdr:col>6</xdr:col>
      <xdr:colOff>663824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2BAA6C35-20C8-455F-9D02-64775B0D94C4}"/>
            </a:ext>
          </a:extLst>
        </xdr:cNvPr>
        <xdr:cNvSpPr txBox="1"/>
      </xdr:nvSpPr>
      <xdr:spPr>
        <a:xfrm>
          <a:off x="53056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50,0%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719688A9-89CE-4483-9B79-925E967E824E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53D770F4-2584-41FD-8EE3-D69F4F760DCA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B2305A8D-5EB6-498B-9D15-254F3FE99FC7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670318</xdr:colOff>
      <xdr:row>25</xdr:row>
      <xdr:rowOff>116358</xdr:rowOff>
    </xdr:from>
    <xdr:to>
      <xdr:col>6</xdr:col>
      <xdr:colOff>625494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AC9CCFF1-FF59-4FB5-865D-1A6F7E1BC905}"/>
            </a:ext>
          </a:extLst>
        </xdr:cNvPr>
        <xdr:cNvSpPr txBox="1"/>
      </xdr:nvSpPr>
      <xdr:spPr>
        <a:xfrm>
          <a:off x="52296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33%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0737B4CE-165A-473B-9630-7B18EF6036DF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F4B12C55-D7E4-44E8-8C13-C0931EF3E1DA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50%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C6A651BC-9BAD-441D-8061-35D0B434F315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67F5897D-91E4-4586-9175-B77DF95D5485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A289F628-90F6-49AE-BFA7-3412CADEA30A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8190552D-E11F-4E70-B053-BE3F9C4D7CED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831D0503-526C-43FE-8241-9E9E2582C3BE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16EAB8E2-20DC-45F5-9E5D-907A5F045289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67%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EBA8CDD1-16A5-425F-96B1-E35A724653B0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8,3%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A2064FCC-5903-4957-9F71-7143A4B09E0D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F7905ACE-E967-415B-A6F0-968466CE2DE6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332F66CC-CF77-4AD2-A62D-41521554D327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8,3%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3DE0D3DE-DF24-46B0-B12B-A109576B3341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4,2%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8A252E37-F773-49D3-85AB-6997919DF234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8,3%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127000</xdr:colOff>
      <xdr:row>28</xdr:row>
      <xdr:rowOff>50213</xdr:rowOff>
    </xdr:from>
    <xdr:to>
      <xdr:col>6</xdr:col>
      <xdr:colOff>88463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873AEF04-A67C-46D4-8028-F1B6EB75BDC9}"/>
            </a:ext>
          </a:extLst>
        </xdr:cNvPr>
        <xdr:cNvSpPr txBox="1"/>
      </xdr:nvSpPr>
      <xdr:spPr>
        <a:xfrm>
          <a:off x="4686300" y="5231813"/>
          <a:ext cx="723463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16,7%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0D8FC2AD-3D7E-4C94-B35F-8CBE39151623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4,2%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C32988EC-5074-42E5-83CE-458C920B826C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4,2%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579364A7-5652-4AEA-8DA0-485400E47C25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12,5%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55CA985C-D2B6-43C5-890E-E2FF3A6AA7FE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4,2%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127149</xdr:colOff>
      <xdr:row>24</xdr:row>
      <xdr:rowOff>171740</xdr:rowOff>
    </xdr:from>
    <xdr:to>
      <xdr:col>6</xdr:col>
      <xdr:colOff>79720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36D09E58-B423-4D07-9F7B-0B5E1160506C}"/>
            </a:ext>
          </a:extLst>
        </xdr:cNvPr>
        <xdr:cNvSpPr txBox="1"/>
      </xdr:nvSpPr>
      <xdr:spPr>
        <a:xfrm>
          <a:off x="46864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55FD94D2-9F99-4922-9DCA-332A7FD15567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AD8C2DBC-B460-464C-ADC6-FC69DB1A2C34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7896DA0E-1498-46AA-9469-41E0693E10E9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4,2%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0E668C4E-D52F-4078-AFFE-F1450FC60BAF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B6FCBE85-1460-41C1-ABA8-02C7DC17C877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50800</xdr:colOff>
      <xdr:row>1</xdr:row>
      <xdr:rowOff>177801</xdr:rowOff>
    </xdr:from>
    <xdr:to>
      <xdr:col>2</xdr:col>
      <xdr:colOff>1124163</xdr:colOff>
      <xdr:row>13</xdr:row>
      <xdr:rowOff>63501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16CB7EBE-593C-4AD8-BA1D-D63591F77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800" y="361951"/>
          <a:ext cx="1835363" cy="2101850"/>
        </a:xfrm>
        <a:prstGeom prst="rect">
          <a:avLst/>
        </a:prstGeom>
      </xdr:spPr>
    </xdr:pic>
    <xdr:clientData/>
  </xdr:twoCellAnchor>
  <xdr:twoCellAnchor>
    <xdr:from>
      <xdr:col>9</xdr:col>
      <xdr:colOff>681699</xdr:colOff>
      <xdr:row>21</xdr:row>
      <xdr:rowOff>173849</xdr:rowOff>
    </xdr:from>
    <xdr:to>
      <xdr:col>10</xdr:col>
      <xdr:colOff>292100</xdr:colOff>
      <xdr:row>23</xdr:row>
      <xdr:rowOff>88900</xdr:rowOff>
    </xdr:to>
    <xdr:sp macro="" textlink="">
      <xdr:nvSpPr>
        <xdr:cNvPr id="41" name="ZoneTexte 40">
          <a:extLst>
            <a:ext uri="{FF2B5EF4-FFF2-40B4-BE49-F238E27FC236}">
              <a16:creationId xmlns:a16="http://schemas.microsoft.com/office/drawing/2014/main" id="{4C37957B-A371-4072-A1FC-274098BF1CB3}"/>
            </a:ext>
          </a:extLst>
        </xdr:cNvPr>
        <xdr:cNvSpPr txBox="1"/>
      </xdr:nvSpPr>
      <xdr:spPr>
        <a:xfrm>
          <a:off x="8288999" y="4060049"/>
          <a:ext cx="372401" cy="28970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691522</xdr:colOff>
      <xdr:row>23</xdr:row>
      <xdr:rowOff>147849</xdr:rowOff>
    </xdr:from>
    <xdr:to>
      <xdr:col>10</xdr:col>
      <xdr:colOff>330200</xdr:colOff>
      <xdr:row>25</xdr:row>
      <xdr:rowOff>12700</xdr:rowOff>
    </xdr:to>
    <xdr:sp macro="" textlink="$R$56">
      <xdr:nvSpPr>
        <xdr:cNvPr id="42" name="ZoneTexte 41">
          <a:extLst>
            <a:ext uri="{FF2B5EF4-FFF2-40B4-BE49-F238E27FC236}">
              <a16:creationId xmlns:a16="http://schemas.microsoft.com/office/drawing/2014/main" id="{2BC2A4D4-55CF-4338-8FFC-0C91B36625B0}"/>
            </a:ext>
          </a:extLst>
        </xdr:cNvPr>
        <xdr:cNvSpPr txBox="1"/>
      </xdr:nvSpPr>
      <xdr:spPr>
        <a:xfrm>
          <a:off x="8298822" y="4408699"/>
          <a:ext cx="400678" cy="2331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533400</xdr:colOff>
      <xdr:row>39</xdr:row>
      <xdr:rowOff>0</xdr:rowOff>
    </xdr:from>
    <xdr:to>
      <xdr:col>8</xdr:col>
      <xdr:colOff>812800</xdr:colOff>
      <xdr:row>40</xdr:row>
      <xdr:rowOff>76200</xdr:rowOff>
    </xdr:to>
    <xdr:sp macro="" textlink="$R$23">
      <xdr:nvSpPr>
        <xdr:cNvPr id="43" name="Décagone 42">
          <a:extLst>
            <a:ext uri="{FF2B5EF4-FFF2-40B4-BE49-F238E27FC236}">
              <a16:creationId xmlns:a16="http://schemas.microsoft.com/office/drawing/2014/main" id="{EE905B16-07E2-4F97-8C2C-ADCD2B7CA955}"/>
            </a:ext>
          </a:extLst>
        </xdr:cNvPr>
        <xdr:cNvSpPr/>
      </xdr:nvSpPr>
      <xdr:spPr>
        <a:xfrm>
          <a:off x="7378700" y="7219950"/>
          <a:ext cx="2286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D11C0BDF-FDA0-DE4E-89EC-F0353287A8C7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8,3%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800100</xdr:colOff>
      <xdr:row>35</xdr:row>
      <xdr:rowOff>63500</xdr:rowOff>
    </xdr:from>
    <xdr:to>
      <xdr:col>8</xdr:col>
      <xdr:colOff>254000</xdr:colOff>
      <xdr:row>36</xdr:row>
      <xdr:rowOff>139700</xdr:rowOff>
    </xdr:to>
    <xdr:sp macro="" textlink="$R$5">
      <xdr:nvSpPr>
        <xdr:cNvPr id="44" name="Décagone 43">
          <a:extLst>
            <a:ext uri="{FF2B5EF4-FFF2-40B4-BE49-F238E27FC236}">
              <a16:creationId xmlns:a16="http://schemas.microsoft.com/office/drawing/2014/main" id="{43D94AE6-9681-4332-BD98-15573EA48B44}"/>
            </a:ext>
          </a:extLst>
        </xdr:cNvPr>
        <xdr:cNvSpPr/>
      </xdr:nvSpPr>
      <xdr:spPr>
        <a:xfrm>
          <a:off x="6845300" y="6540500"/>
          <a:ext cx="2540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FFB0E36-2AD4-7746-8CC9-7863F189EC9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762000</xdr:colOff>
      <xdr:row>32</xdr:row>
      <xdr:rowOff>127000</xdr:rowOff>
    </xdr:from>
    <xdr:to>
      <xdr:col>7</xdr:col>
      <xdr:colOff>215900</xdr:colOff>
      <xdr:row>34</xdr:row>
      <xdr:rowOff>12700</xdr:rowOff>
    </xdr:to>
    <xdr:sp macro="" textlink="$R$6">
      <xdr:nvSpPr>
        <xdr:cNvPr id="45" name="Décagone 44">
          <a:extLst>
            <a:ext uri="{FF2B5EF4-FFF2-40B4-BE49-F238E27FC236}">
              <a16:creationId xmlns:a16="http://schemas.microsoft.com/office/drawing/2014/main" id="{5A2A43C5-CBC0-4B72-A344-C0261E6985ED}"/>
            </a:ext>
          </a:extLst>
        </xdr:cNvPr>
        <xdr:cNvSpPr/>
      </xdr:nvSpPr>
      <xdr:spPr>
        <a:xfrm>
          <a:off x="6083300" y="6045200"/>
          <a:ext cx="215900" cy="25400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3DC7EC-9654-104B-9ED0-00121AD6CBB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38100</xdr:colOff>
      <xdr:row>31</xdr:row>
      <xdr:rowOff>152400</xdr:rowOff>
    </xdr:from>
    <xdr:to>
      <xdr:col>5</xdr:col>
      <xdr:colOff>317500</xdr:colOff>
      <xdr:row>33</xdr:row>
      <xdr:rowOff>38100</xdr:rowOff>
    </xdr:to>
    <xdr:sp macro="" textlink="$R$7">
      <xdr:nvSpPr>
        <xdr:cNvPr id="46" name="Décagone 45">
          <a:extLst>
            <a:ext uri="{FF2B5EF4-FFF2-40B4-BE49-F238E27FC236}">
              <a16:creationId xmlns:a16="http://schemas.microsoft.com/office/drawing/2014/main" id="{E7587CA9-1164-4313-BF63-80417B8E8402}"/>
            </a:ext>
          </a:extLst>
        </xdr:cNvPr>
        <xdr:cNvSpPr/>
      </xdr:nvSpPr>
      <xdr:spPr>
        <a:xfrm>
          <a:off x="4597400" y="5886450"/>
          <a:ext cx="279400" cy="25400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5A08917-1336-D54C-B868-647CAFC44AC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50800</xdr:colOff>
      <xdr:row>32</xdr:row>
      <xdr:rowOff>152400</xdr:rowOff>
    </xdr:from>
    <xdr:to>
      <xdr:col>3</xdr:col>
      <xdr:colOff>330200</xdr:colOff>
      <xdr:row>34</xdr:row>
      <xdr:rowOff>38100</xdr:rowOff>
    </xdr:to>
    <xdr:sp macro="" textlink="$R$8">
      <xdr:nvSpPr>
        <xdr:cNvPr id="47" name="Décagone 46">
          <a:extLst>
            <a:ext uri="{FF2B5EF4-FFF2-40B4-BE49-F238E27FC236}">
              <a16:creationId xmlns:a16="http://schemas.microsoft.com/office/drawing/2014/main" id="{9A785022-C13C-4F3A-BC6C-E07071C1176F}"/>
            </a:ext>
          </a:extLst>
        </xdr:cNvPr>
        <xdr:cNvSpPr/>
      </xdr:nvSpPr>
      <xdr:spPr>
        <a:xfrm>
          <a:off x="3086100" y="6070600"/>
          <a:ext cx="279400" cy="25400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D813A4CF-893D-7B48-8AC8-0AF395D392D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838200</xdr:colOff>
      <xdr:row>35</xdr:row>
      <xdr:rowOff>63500</xdr:rowOff>
    </xdr:from>
    <xdr:to>
      <xdr:col>2</xdr:col>
      <xdr:colOff>1117600</xdr:colOff>
      <xdr:row>36</xdr:row>
      <xdr:rowOff>139700</xdr:rowOff>
    </xdr:to>
    <xdr:sp macro="" textlink="$R$9">
      <xdr:nvSpPr>
        <xdr:cNvPr id="48" name="Décagone 47">
          <a:extLst>
            <a:ext uri="{FF2B5EF4-FFF2-40B4-BE49-F238E27FC236}">
              <a16:creationId xmlns:a16="http://schemas.microsoft.com/office/drawing/2014/main" id="{026211E2-666E-41C2-9D15-3AE6055C26BE}"/>
            </a:ext>
          </a:extLst>
        </xdr:cNvPr>
        <xdr:cNvSpPr/>
      </xdr:nvSpPr>
      <xdr:spPr>
        <a:xfrm>
          <a:off x="2362200" y="6540500"/>
          <a:ext cx="2794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44A521-EAC6-A941-95C3-B867B305216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342900</xdr:colOff>
      <xdr:row>39</xdr:row>
      <xdr:rowOff>0</xdr:rowOff>
    </xdr:from>
    <xdr:to>
      <xdr:col>2</xdr:col>
      <xdr:colOff>622300</xdr:colOff>
      <xdr:row>40</xdr:row>
      <xdr:rowOff>76200</xdr:rowOff>
    </xdr:to>
    <xdr:sp macro="" textlink="$R$10">
      <xdr:nvSpPr>
        <xdr:cNvPr id="49" name="Décagone 48">
          <a:extLst>
            <a:ext uri="{FF2B5EF4-FFF2-40B4-BE49-F238E27FC236}">
              <a16:creationId xmlns:a16="http://schemas.microsoft.com/office/drawing/2014/main" id="{E6162A6E-DA28-4736-BF6A-18A02E023F48}"/>
            </a:ext>
          </a:extLst>
        </xdr:cNvPr>
        <xdr:cNvSpPr/>
      </xdr:nvSpPr>
      <xdr:spPr>
        <a:xfrm>
          <a:off x="1866900" y="7219950"/>
          <a:ext cx="2794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DCFE3B08-9789-014D-96A5-5B74EDFAB2DA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1473200</xdr:colOff>
      <xdr:row>29</xdr:row>
      <xdr:rowOff>101600</xdr:rowOff>
    </xdr:from>
    <xdr:to>
      <xdr:col>3</xdr:col>
      <xdr:colOff>101600</xdr:colOff>
      <xdr:row>30</xdr:row>
      <xdr:rowOff>177800</xdr:rowOff>
    </xdr:to>
    <xdr:sp macro="" textlink="$R$31">
      <xdr:nvSpPr>
        <xdr:cNvPr id="50" name="Décagone 49">
          <a:extLst>
            <a:ext uri="{FF2B5EF4-FFF2-40B4-BE49-F238E27FC236}">
              <a16:creationId xmlns:a16="http://schemas.microsoft.com/office/drawing/2014/main" id="{09FF58C3-A227-4F02-99BE-D59659D309A5}"/>
            </a:ext>
          </a:extLst>
        </xdr:cNvPr>
        <xdr:cNvSpPr/>
      </xdr:nvSpPr>
      <xdr:spPr>
        <a:xfrm>
          <a:off x="2997200" y="5467350"/>
          <a:ext cx="1397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547CB75-B4C1-F144-8D22-F7931A2CBC27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4,2%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1168400</xdr:colOff>
      <xdr:row>26</xdr:row>
      <xdr:rowOff>12700</xdr:rowOff>
    </xdr:from>
    <xdr:to>
      <xdr:col>2</xdr:col>
      <xdr:colOff>1447800</xdr:colOff>
      <xdr:row>27</xdr:row>
      <xdr:rowOff>88900</xdr:rowOff>
    </xdr:to>
    <xdr:sp macro="" textlink="$R$16">
      <xdr:nvSpPr>
        <xdr:cNvPr id="51" name="Décagone 50">
          <a:extLst>
            <a:ext uri="{FF2B5EF4-FFF2-40B4-BE49-F238E27FC236}">
              <a16:creationId xmlns:a16="http://schemas.microsoft.com/office/drawing/2014/main" id="{104697D0-2B14-495B-AB71-675FD2C465CC}"/>
            </a:ext>
          </a:extLst>
        </xdr:cNvPr>
        <xdr:cNvSpPr/>
      </xdr:nvSpPr>
      <xdr:spPr>
        <a:xfrm>
          <a:off x="2692400" y="4826000"/>
          <a:ext cx="2794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C17B8A66-8802-7F4B-AC21-84BD080C9AFE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50800</xdr:colOff>
      <xdr:row>24</xdr:row>
      <xdr:rowOff>139700</xdr:rowOff>
    </xdr:from>
    <xdr:to>
      <xdr:col>5</xdr:col>
      <xdr:colOff>330200</xdr:colOff>
      <xdr:row>26</xdr:row>
      <xdr:rowOff>25400</xdr:rowOff>
    </xdr:to>
    <xdr:sp macro="" textlink="$R$34">
      <xdr:nvSpPr>
        <xdr:cNvPr id="52" name="Décagone 51">
          <a:extLst>
            <a:ext uri="{FF2B5EF4-FFF2-40B4-BE49-F238E27FC236}">
              <a16:creationId xmlns:a16="http://schemas.microsoft.com/office/drawing/2014/main" id="{3B093FD1-E4FD-4202-984F-48DE413A70F1}"/>
            </a:ext>
          </a:extLst>
        </xdr:cNvPr>
        <xdr:cNvSpPr/>
      </xdr:nvSpPr>
      <xdr:spPr>
        <a:xfrm>
          <a:off x="4610100" y="4584700"/>
          <a:ext cx="279400" cy="25400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C5413BD-FBC2-9A41-999E-2D8C0DACB46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571500</xdr:colOff>
      <xdr:row>26</xdr:row>
      <xdr:rowOff>63500</xdr:rowOff>
    </xdr:from>
    <xdr:to>
      <xdr:col>8</xdr:col>
      <xdr:colOff>25400</xdr:colOff>
      <xdr:row>27</xdr:row>
      <xdr:rowOff>139700</xdr:rowOff>
    </xdr:to>
    <xdr:sp macro="" textlink="$R$33">
      <xdr:nvSpPr>
        <xdr:cNvPr id="53" name="Décagone 52">
          <a:extLst>
            <a:ext uri="{FF2B5EF4-FFF2-40B4-BE49-F238E27FC236}">
              <a16:creationId xmlns:a16="http://schemas.microsoft.com/office/drawing/2014/main" id="{4D56D1C2-0008-4AC8-BF2C-C019E2ADFD6D}"/>
            </a:ext>
          </a:extLst>
        </xdr:cNvPr>
        <xdr:cNvSpPr/>
      </xdr:nvSpPr>
      <xdr:spPr>
        <a:xfrm>
          <a:off x="6654800" y="4876800"/>
          <a:ext cx="2159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CD251DAB-AA07-524D-8991-9AAA62248A7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4,2%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279400</xdr:colOff>
      <xdr:row>29</xdr:row>
      <xdr:rowOff>76200</xdr:rowOff>
    </xdr:from>
    <xdr:to>
      <xdr:col>7</xdr:col>
      <xdr:colOff>558800</xdr:colOff>
      <xdr:row>30</xdr:row>
      <xdr:rowOff>152400</xdr:rowOff>
    </xdr:to>
    <xdr:sp macro="" textlink="$R$32">
      <xdr:nvSpPr>
        <xdr:cNvPr id="54" name="Décagone 53">
          <a:extLst>
            <a:ext uri="{FF2B5EF4-FFF2-40B4-BE49-F238E27FC236}">
              <a16:creationId xmlns:a16="http://schemas.microsoft.com/office/drawing/2014/main" id="{4DA8458F-50F2-415B-B40B-FD20199A3B9C}"/>
            </a:ext>
          </a:extLst>
        </xdr:cNvPr>
        <xdr:cNvSpPr/>
      </xdr:nvSpPr>
      <xdr:spPr>
        <a:xfrm>
          <a:off x="6362700" y="5441950"/>
          <a:ext cx="2794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594BF28-D736-2243-AD2A-166D0BB8C75A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4,2%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28</xdr:row>
      <xdr:rowOff>38100</xdr:rowOff>
    </xdr:from>
    <xdr:to>
      <xdr:col>5</xdr:col>
      <xdr:colOff>292100</xdr:colOff>
      <xdr:row>29</xdr:row>
      <xdr:rowOff>114300</xdr:rowOff>
    </xdr:to>
    <xdr:sp macro="" textlink="$R$30">
      <xdr:nvSpPr>
        <xdr:cNvPr id="55" name="Décagone 54">
          <a:extLst>
            <a:ext uri="{FF2B5EF4-FFF2-40B4-BE49-F238E27FC236}">
              <a16:creationId xmlns:a16="http://schemas.microsoft.com/office/drawing/2014/main" id="{02951ED5-7F6B-4253-A98C-FC4B6FB5B392}"/>
            </a:ext>
          </a:extLst>
        </xdr:cNvPr>
        <xdr:cNvSpPr/>
      </xdr:nvSpPr>
      <xdr:spPr>
        <a:xfrm>
          <a:off x="4572000" y="5219700"/>
          <a:ext cx="2794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6E4CB56A-DE60-6D4E-8D4E-C5C575503A3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16,7%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17780</xdr:colOff>
      <xdr:row>47</xdr:row>
      <xdr:rowOff>48260</xdr:rowOff>
    </xdr:from>
    <xdr:to>
      <xdr:col>7</xdr:col>
      <xdr:colOff>297180</xdr:colOff>
      <xdr:row>48</xdr:row>
      <xdr:rowOff>124460</xdr:rowOff>
    </xdr:to>
    <xdr:sp macro="" textlink="$R$18">
      <xdr:nvSpPr>
        <xdr:cNvPr id="56" name="Décagone 55">
          <a:extLst>
            <a:ext uri="{FF2B5EF4-FFF2-40B4-BE49-F238E27FC236}">
              <a16:creationId xmlns:a16="http://schemas.microsoft.com/office/drawing/2014/main" id="{654C2A93-381D-4FA5-81DE-94BD96F0A5CD}"/>
            </a:ext>
          </a:extLst>
        </xdr:cNvPr>
        <xdr:cNvSpPr/>
      </xdr:nvSpPr>
      <xdr:spPr>
        <a:xfrm>
          <a:off x="6101080" y="8760460"/>
          <a:ext cx="27940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28279C-2C39-C843-BEE0-96587C9B259A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739140</xdr:colOff>
      <xdr:row>47</xdr:row>
      <xdr:rowOff>48260</xdr:rowOff>
    </xdr:from>
    <xdr:to>
      <xdr:col>4</xdr:col>
      <xdr:colOff>195580</xdr:colOff>
      <xdr:row>48</xdr:row>
      <xdr:rowOff>124460</xdr:rowOff>
    </xdr:to>
    <xdr:sp macro="" textlink="$R$17">
      <xdr:nvSpPr>
        <xdr:cNvPr id="57" name="Décagone 56">
          <a:extLst>
            <a:ext uri="{FF2B5EF4-FFF2-40B4-BE49-F238E27FC236}">
              <a16:creationId xmlns:a16="http://schemas.microsoft.com/office/drawing/2014/main" id="{A8FF2985-E5A5-4A5A-8952-CD4A996744A6}"/>
            </a:ext>
          </a:extLst>
        </xdr:cNvPr>
        <xdr:cNvSpPr/>
      </xdr:nvSpPr>
      <xdr:spPr>
        <a:xfrm>
          <a:off x="3774440" y="8760460"/>
          <a:ext cx="21844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1298F4C-8970-4740-8887-3403FD07B5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769620</xdr:colOff>
      <xdr:row>25</xdr:row>
      <xdr:rowOff>99060</xdr:rowOff>
    </xdr:from>
    <xdr:to>
      <xdr:col>10</xdr:col>
      <xdr:colOff>226060</xdr:colOff>
      <xdr:row>26</xdr:row>
      <xdr:rowOff>175260</xdr:rowOff>
    </xdr:to>
    <xdr:sp macro="" textlink="">
      <xdr:nvSpPr>
        <xdr:cNvPr id="58" name="Décagone 57">
          <a:extLst>
            <a:ext uri="{FF2B5EF4-FFF2-40B4-BE49-F238E27FC236}">
              <a16:creationId xmlns:a16="http://schemas.microsoft.com/office/drawing/2014/main" id="{25F3E6CC-A226-4AAE-9181-FA3E5AC8E624}"/>
            </a:ext>
          </a:extLst>
        </xdr:cNvPr>
        <xdr:cNvSpPr/>
      </xdr:nvSpPr>
      <xdr:spPr>
        <a:xfrm>
          <a:off x="8370570" y="4728210"/>
          <a:ext cx="224790" cy="26035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10</xdr:col>
      <xdr:colOff>360618</xdr:colOff>
      <xdr:row>21</xdr:row>
      <xdr:rowOff>188148</xdr:rowOff>
    </xdr:from>
    <xdr:to>
      <xdr:col>11</xdr:col>
      <xdr:colOff>141111</xdr:colOff>
      <xdr:row>23</xdr:row>
      <xdr:rowOff>94075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DF521026-4077-40E0-837E-BE819D67F42D}"/>
            </a:ext>
          </a:extLst>
        </xdr:cNvPr>
        <xdr:cNvSpPr txBox="1"/>
      </xdr:nvSpPr>
      <xdr:spPr>
        <a:xfrm>
          <a:off x="8729918" y="4074348"/>
          <a:ext cx="542493" cy="2805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356228</xdr:colOff>
      <xdr:row>23</xdr:row>
      <xdr:rowOff>136720</xdr:rowOff>
    </xdr:from>
    <xdr:to>
      <xdr:col>11</xdr:col>
      <xdr:colOff>533086</xdr:colOff>
      <xdr:row>25</xdr:row>
      <xdr:rowOff>78394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BEC2326F-3368-45A2-AE96-A5DFFE2DEF95}"/>
            </a:ext>
          </a:extLst>
        </xdr:cNvPr>
        <xdr:cNvSpPr txBox="1"/>
      </xdr:nvSpPr>
      <xdr:spPr>
        <a:xfrm>
          <a:off x="8725528" y="4397570"/>
          <a:ext cx="938858" cy="30997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356228</xdr:colOff>
      <xdr:row>25</xdr:row>
      <xdr:rowOff>105362</xdr:rowOff>
    </xdr:from>
    <xdr:to>
      <xdr:col>11</xdr:col>
      <xdr:colOff>454691</xdr:colOff>
      <xdr:row>27</xdr:row>
      <xdr:rowOff>62716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6C0E4673-E1E0-41C7-92B8-684A6B7558EB}"/>
            </a:ext>
          </a:extLst>
        </xdr:cNvPr>
        <xdr:cNvSpPr txBox="1"/>
      </xdr:nvSpPr>
      <xdr:spPr>
        <a:xfrm>
          <a:off x="8725528" y="4734512"/>
          <a:ext cx="860463" cy="32565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1333500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4DC7232-C201-4DDB-87F4-4BB85B98D31A}"/>
            </a:ext>
          </a:extLst>
        </xdr:cNvPr>
        <xdr:cNvSpPr/>
      </xdr:nvSpPr>
      <xdr:spPr>
        <a:xfrm>
          <a:off x="812004" y="2590292"/>
          <a:ext cx="20454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Orane V.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44434D9-232A-4F28-A55F-965F5029F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B60580CE-A071-4087-BB27-B2604C74FDF8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BB43A17D-646F-47A5-BE1D-972DF416D3AF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4878D0C2-FD4C-4283-A679-96234E38FB09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B5DE8B5D-1EF1-43CE-A598-71C6370DAD79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114426BF-FECC-4313-B144-F4236C19A712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8FB30C15-44BD-4320-875D-04E1F0DF365B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0A178875-AA3C-4BCD-89E7-3574C340E924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74B5BFB9-119F-4BE6-A630-6660A5FB2480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2AB61AC3-8EDE-4590-B797-DFD7063DBCEA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A637EFED-D0B2-446B-A7EE-368D94228951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844B3B3A-87CE-4F3C-B1F2-BB339E112CBC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C26D4300-6E88-4D27-9FD1-6328DEC37C5F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2E06E35C-4FED-4850-A5DD-7C4F85CAE8C1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5AAC85AB-43F6-4DAA-BCDC-B0D0A11CA977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9DAE7BDD-36CD-446C-9290-02B80E5ABFF0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0577CE8A-4F38-4572-B580-2DECAE00EEBF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80D27729-E5A2-4C67-BDF4-1BD72BAA075F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4D3E38F7-B77B-4F1E-A76B-C8E65E7A3D8F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457C435C-3667-422D-86AC-821C6749B9A0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36A0425A-DEF1-4026-B5D7-E9FDC66ABBCE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ABC77886-8537-430A-97FE-DFB5F7C0D518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D7707E1E-40F9-4B4D-A84D-83E53F9F9254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AD02B9FC-1B86-4202-8FE8-55250F3DDE9B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B90EBB33-E400-4E97-B211-693416D71A64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BA3A6AB0-C725-4626-A73F-5DBBC2489C55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2181500D-5501-4F6C-BB2A-6DDEB782AE58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A3AA61A9-B3D0-497B-8FBD-ED87E9BC2231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5F8252AD-6470-4336-9BD7-4A964DB81383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5CE6889A-2E27-44E9-9478-3FBDCE2044A1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0B1164F1-388E-412F-A01D-15866E9C8C65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E2107F42-4181-4B46-B4D7-2F97353C3293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6675C947-A73A-444E-AC5E-5681D3072586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39FEF3B0-C3CE-477E-A57A-3929C957FCA4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E214BCCD-27AC-4FA8-B995-103BC19AD816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99C807DB-DA7A-43DA-A984-AAED8636D259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A22FB1A5-717F-4596-B2C0-44BBDAD5F92B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63500</xdr:colOff>
      <xdr:row>1</xdr:row>
      <xdr:rowOff>63500</xdr:rowOff>
    </xdr:from>
    <xdr:to>
      <xdr:col>2</xdr:col>
      <xdr:colOff>1308100</xdr:colOff>
      <xdr:row>13</xdr:row>
      <xdr:rowOff>72807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ADB451F8-792C-4A71-A1AE-153481B33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247650"/>
          <a:ext cx="2006600" cy="2225457"/>
        </a:xfrm>
        <a:prstGeom prst="rect">
          <a:avLst/>
        </a:prstGeom>
      </xdr:spPr>
    </xdr:pic>
    <xdr:clientData/>
  </xdr:twoCellAnchor>
  <xdr:twoCellAnchor>
    <xdr:from>
      <xdr:col>8</xdr:col>
      <xdr:colOff>551180</xdr:colOff>
      <xdr:row>39</xdr:row>
      <xdr:rowOff>20320</xdr:rowOff>
    </xdr:from>
    <xdr:to>
      <xdr:col>9</xdr:col>
      <xdr:colOff>5080</xdr:colOff>
      <xdr:row>40</xdr:row>
      <xdr:rowOff>99060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54D07BB0-5AFB-4F19-8E4C-079C73CD0061}"/>
            </a:ext>
          </a:extLst>
        </xdr:cNvPr>
        <xdr:cNvSpPr/>
      </xdr:nvSpPr>
      <xdr:spPr>
        <a:xfrm>
          <a:off x="7396480" y="7240270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820420</xdr:colOff>
      <xdr:row>35</xdr:row>
      <xdr:rowOff>76200</xdr:rowOff>
    </xdr:from>
    <xdr:to>
      <xdr:col>8</xdr:col>
      <xdr:colOff>271780</xdr:colOff>
      <xdr:row>36</xdr:row>
      <xdr:rowOff>154940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6FD6AC83-7186-45EF-95C6-EBB0711DBDFC}"/>
            </a:ext>
          </a:extLst>
        </xdr:cNvPr>
        <xdr:cNvSpPr/>
      </xdr:nvSpPr>
      <xdr:spPr>
        <a:xfrm>
          <a:off x="6846570" y="6553200"/>
          <a:ext cx="2705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784860</xdr:colOff>
      <xdr:row>32</xdr:row>
      <xdr:rowOff>134620</xdr:rowOff>
    </xdr:from>
    <xdr:to>
      <xdr:col>7</xdr:col>
      <xdr:colOff>236220</xdr:colOff>
      <xdr:row>34</xdr:row>
      <xdr:rowOff>25400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7DE359A1-D1ED-4F59-8866-2FF029233008}"/>
            </a:ext>
          </a:extLst>
        </xdr:cNvPr>
        <xdr:cNvSpPr/>
      </xdr:nvSpPr>
      <xdr:spPr>
        <a:xfrm>
          <a:off x="6080760" y="6052820"/>
          <a:ext cx="2387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63500</xdr:colOff>
      <xdr:row>31</xdr:row>
      <xdr:rowOff>157480</xdr:rowOff>
    </xdr:from>
    <xdr:to>
      <xdr:col>5</xdr:col>
      <xdr:colOff>342900</xdr:colOff>
      <xdr:row>33</xdr:row>
      <xdr:rowOff>48260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1C0C2D37-E3A1-4A27-980F-E50AB0A5C5F3}"/>
            </a:ext>
          </a:extLst>
        </xdr:cNvPr>
        <xdr:cNvSpPr/>
      </xdr:nvSpPr>
      <xdr:spPr>
        <a:xfrm>
          <a:off x="4622800" y="589153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81280</xdr:colOff>
      <xdr:row>32</xdr:row>
      <xdr:rowOff>160020</xdr:rowOff>
    </xdr:from>
    <xdr:to>
      <xdr:col>3</xdr:col>
      <xdr:colOff>360680</xdr:colOff>
      <xdr:row>34</xdr:row>
      <xdr:rowOff>50800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00CE1876-3C8B-4BCC-A70C-81D8B8BB0F58}"/>
            </a:ext>
          </a:extLst>
        </xdr:cNvPr>
        <xdr:cNvSpPr/>
      </xdr:nvSpPr>
      <xdr:spPr>
        <a:xfrm>
          <a:off x="3116580" y="607822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863600</xdr:colOff>
      <xdr:row>35</xdr:row>
      <xdr:rowOff>76200</xdr:rowOff>
    </xdr:from>
    <xdr:to>
      <xdr:col>2</xdr:col>
      <xdr:colOff>1143000</xdr:colOff>
      <xdr:row>36</xdr:row>
      <xdr:rowOff>154940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BEEB3FDC-356A-4BD7-840B-01A0F631E52D}"/>
            </a:ext>
          </a:extLst>
        </xdr:cNvPr>
        <xdr:cNvSpPr/>
      </xdr:nvSpPr>
      <xdr:spPr>
        <a:xfrm>
          <a:off x="2387600" y="65532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368300</xdr:colOff>
      <xdr:row>39</xdr:row>
      <xdr:rowOff>20320</xdr:rowOff>
    </xdr:from>
    <xdr:to>
      <xdr:col>2</xdr:col>
      <xdr:colOff>647700</xdr:colOff>
      <xdr:row>40</xdr:row>
      <xdr:rowOff>99060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1DEE9822-4162-471D-A719-7979B90EA2C9}"/>
            </a:ext>
          </a:extLst>
        </xdr:cNvPr>
        <xdr:cNvSpPr/>
      </xdr:nvSpPr>
      <xdr:spPr>
        <a:xfrm>
          <a:off x="1892300" y="72402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1498600</xdr:colOff>
      <xdr:row>29</xdr:row>
      <xdr:rowOff>101600</xdr:rowOff>
    </xdr:from>
    <xdr:to>
      <xdr:col>3</xdr:col>
      <xdr:colOff>132080</xdr:colOff>
      <xdr:row>30</xdr:row>
      <xdr:rowOff>180340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CC1B9176-8AC5-4F29-A76F-418210925569}"/>
            </a:ext>
          </a:extLst>
        </xdr:cNvPr>
        <xdr:cNvSpPr/>
      </xdr:nvSpPr>
      <xdr:spPr>
        <a:xfrm>
          <a:off x="3022600" y="5467350"/>
          <a:ext cx="14478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1193800</xdr:colOff>
      <xdr:row>26</xdr:row>
      <xdr:rowOff>5080</xdr:rowOff>
    </xdr:from>
    <xdr:to>
      <xdr:col>2</xdr:col>
      <xdr:colOff>1473200</xdr:colOff>
      <xdr:row>27</xdr:row>
      <xdr:rowOff>83820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24D4C1F5-650E-492D-B4E1-1610D5F0F51B}"/>
            </a:ext>
          </a:extLst>
        </xdr:cNvPr>
        <xdr:cNvSpPr/>
      </xdr:nvSpPr>
      <xdr:spPr>
        <a:xfrm>
          <a:off x="2717800" y="48183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76200</xdr:colOff>
      <xdr:row>24</xdr:row>
      <xdr:rowOff>127000</xdr:rowOff>
    </xdr:from>
    <xdr:to>
      <xdr:col>5</xdr:col>
      <xdr:colOff>355600</xdr:colOff>
      <xdr:row>26</xdr:row>
      <xdr:rowOff>17780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DB5839C3-F1DD-40F7-B3D4-5DEA9C7611D8}"/>
            </a:ext>
          </a:extLst>
        </xdr:cNvPr>
        <xdr:cNvSpPr/>
      </xdr:nvSpPr>
      <xdr:spPr>
        <a:xfrm>
          <a:off x="4635500" y="45720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591820</xdr:colOff>
      <xdr:row>26</xdr:row>
      <xdr:rowOff>55880</xdr:rowOff>
    </xdr:from>
    <xdr:to>
      <xdr:col>8</xdr:col>
      <xdr:colOff>43180</xdr:colOff>
      <xdr:row>27</xdr:row>
      <xdr:rowOff>134620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C2ACC52D-E815-4EAC-B61A-1F34BC47CA74}"/>
            </a:ext>
          </a:extLst>
        </xdr:cNvPr>
        <xdr:cNvSpPr/>
      </xdr:nvSpPr>
      <xdr:spPr>
        <a:xfrm>
          <a:off x="6675120" y="4869180"/>
          <a:ext cx="21336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299720</xdr:colOff>
      <xdr:row>29</xdr:row>
      <xdr:rowOff>76200</xdr:rowOff>
    </xdr:from>
    <xdr:to>
      <xdr:col>7</xdr:col>
      <xdr:colOff>579120</xdr:colOff>
      <xdr:row>30</xdr:row>
      <xdr:rowOff>154940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B53862CF-6248-431E-8CEC-A78884487DA8}"/>
            </a:ext>
          </a:extLst>
        </xdr:cNvPr>
        <xdr:cNvSpPr/>
      </xdr:nvSpPr>
      <xdr:spPr>
        <a:xfrm>
          <a:off x="6383020" y="544195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38100</xdr:colOff>
      <xdr:row>28</xdr:row>
      <xdr:rowOff>35560</xdr:rowOff>
    </xdr:from>
    <xdr:to>
      <xdr:col>5</xdr:col>
      <xdr:colOff>317500</xdr:colOff>
      <xdr:row>29</xdr:row>
      <xdr:rowOff>114300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AD258BC9-034E-41FF-8E97-6D009CC9A009}"/>
            </a:ext>
          </a:extLst>
        </xdr:cNvPr>
        <xdr:cNvSpPr/>
      </xdr:nvSpPr>
      <xdr:spPr>
        <a:xfrm>
          <a:off x="4597400" y="521716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784860</xdr:colOff>
      <xdr:row>25</xdr:row>
      <xdr:rowOff>88900</xdr:rowOff>
    </xdr:from>
    <xdr:to>
      <xdr:col>10</xdr:col>
      <xdr:colOff>238760</xdr:colOff>
      <xdr:row>26</xdr:row>
      <xdr:rowOff>167640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D11905A7-6827-4C50-99D0-EEA6BC781745}"/>
            </a:ext>
          </a:extLst>
        </xdr:cNvPr>
        <xdr:cNvSpPr/>
      </xdr:nvSpPr>
      <xdr:spPr>
        <a:xfrm>
          <a:off x="8366760" y="4718050"/>
          <a:ext cx="2413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723900</xdr:colOff>
      <xdr:row>21</xdr:row>
      <xdr:rowOff>152400</xdr:rowOff>
    </xdr:from>
    <xdr:to>
      <xdr:col>10</xdr:col>
      <xdr:colOff>331761</xdr:colOff>
      <xdr:row>23</xdr:row>
      <xdr:rowOff>69991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75053066-D336-4A52-9B46-321D4E4AD81C}"/>
            </a:ext>
          </a:extLst>
        </xdr:cNvPr>
        <xdr:cNvSpPr txBox="1"/>
      </xdr:nvSpPr>
      <xdr:spPr>
        <a:xfrm>
          <a:off x="8331200" y="40386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733723</xdr:colOff>
      <xdr:row>23</xdr:row>
      <xdr:rowOff>128940</xdr:rowOff>
    </xdr:from>
    <xdr:to>
      <xdr:col>10</xdr:col>
      <xdr:colOff>369861</xdr:colOff>
      <xdr:row>24</xdr:row>
      <xdr:rowOff>189371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AC79904C-1865-4C12-A3B3-AB14ED49F1D5}"/>
            </a:ext>
          </a:extLst>
        </xdr:cNvPr>
        <xdr:cNvSpPr txBox="1"/>
      </xdr:nvSpPr>
      <xdr:spPr>
        <a:xfrm>
          <a:off x="8341023" y="43897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47093</xdr:colOff>
      <xdr:row>47</xdr:row>
      <xdr:rowOff>61956</xdr:rowOff>
    </xdr:from>
    <xdr:to>
      <xdr:col>7</xdr:col>
      <xdr:colOff>326493</xdr:colOff>
      <xdr:row>48</xdr:row>
      <xdr:rowOff>140696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79AE8C93-4856-49DE-AA75-0F3200AE0C01}"/>
            </a:ext>
          </a:extLst>
        </xdr:cNvPr>
        <xdr:cNvSpPr/>
      </xdr:nvSpPr>
      <xdr:spPr>
        <a:xfrm>
          <a:off x="6130393" y="8774156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778613</xdr:colOff>
      <xdr:row>47</xdr:row>
      <xdr:rowOff>61956</xdr:rowOff>
    </xdr:from>
    <xdr:to>
      <xdr:col>4</xdr:col>
      <xdr:colOff>232513</xdr:colOff>
      <xdr:row>48</xdr:row>
      <xdr:rowOff>140696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C1759113-8E23-49CA-BFBB-5ECA21C153A5}"/>
            </a:ext>
          </a:extLst>
        </xdr:cNvPr>
        <xdr:cNvSpPr/>
      </xdr:nvSpPr>
      <xdr:spPr>
        <a:xfrm>
          <a:off x="3794863" y="8774156"/>
          <a:ext cx="2349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359990</xdr:colOff>
      <xdr:row>21</xdr:row>
      <xdr:rowOff>190500</xdr:rowOff>
    </xdr:from>
    <xdr:to>
      <xdr:col>11</xdr:col>
      <xdr:colOff>145971</xdr:colOff>
      <xdr:row>23</xdr:row>
      <xdr:rowOff>94702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3C39E21A-B491-4D45-A650-FF580E19FBC8}"/>
            </a:ext>
          </a:extLst>
        </xdr:cNvPr>
        <xdr:cNvSpPr txBox="1"/>
      </xdr:nvSpPr>
      <xdr:spPr>
        <a:xfrm>
          <a:off x="8729290" y="4076700"/>
          <a:ext cx="547981" cy="2788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355600</xdr:colOff>
      <xdr:row>23</xdr:row>
      <xdr:rowOff>137347</xdr:rowOff>
    </xdr:from>
    <xdr:to>
      <xdr:col>11</xdr:col>
      <xdr:colOff>537946</xdr:colOff>
      <xdr:row>25</xdr:row>
      <xdr:rowOff>74318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66A6D270-988A-4D4F-B790-3BDD093FCA9E}"/>
            </a:ext>
          </a:extLst>
        </xdr:cNvPr>
        <xdr:cNvSpPr txBox="1"/>
      </xdr:nvSpPr>
      <xdr:spPr>
        <a:xfrm>
          <a:off x="8724900" y="43981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355600</xdr:colOff>
      <xdr:row>25</xdr:row>
      <xdr:rowOff>101286</xdr:rowOff>
    </xdr:from>
    <xdr:to>
      <xdr:col>11</xdr:col>
      <xdr:colOff>459551</xdr:colOff>
      <xdr:row>27</xdr:row>
      <xdr:rowOff>53936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F7C81E23-62BF-4A9A-B57E-F506CBD850C5}"/>
            </a:ext>
          </a:extLst>
        </xdr:cNvPr>
        <xdr:cNvSpPr txBox="1"/>
      </xdr:nvSpPr>
      <xdr:spPr>
        <a:xfrm>
          <a:off x="8724900" y="47304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155575</xdr:colOff>
      <xdr:row>2</xdr:row>
      <xdr:rowOff>460375</xdr:rowOff>
    </xdr:from>
    <xdr:to>
      <xdr:col>29</xdr:col>
      <xdr:colOff>682625</xdr:colOff>
      <xdr:row>16</xdr:row>
      <xdr:rowOff>60325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65E856CD-2D56-075F-0D67-5F759872C4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234949</xdr:colOff>
      <xdr:row>1</xdr:row>
      <xdr:rowOff>38100</xdr:rowOff>
    </xdr:from>
    <xdr:to>
      <xdr:col>6</xdr:col>
      <xdr:colOff>539750</xdr:colOff>
      <xdr:row>10</xdr:row>
      <xdr:rowOff>76200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96A2E9DA-3CEE-CB2B-EFC7-49F72FD54C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317500</xdr:colOff>
      <xdr:row>1</xdr:row>
      <xdr:rowOff>12700</xdr:rowOff>
    </xdr:from>
    <xdr:to>
      <xdr:col>12</xdr:col>
      <xdr:colOff>3174</xdr:colOff>
      <xdr:row>10</xdr:row>
      <xdr:rowOff>95250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999D798E-149C-B022-0967-D351F89870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212725</xdr:colOff>
      <xdr:row>28</xdr:row>
      <xdr:rowOff>12700</xdr:rowOff>
    </xdr:from>
    <xdr:to>
      <xdr:col>8</xdr:col>
      <xdr:colOff>12700</xdr:colOff>
      <xdr:row>39</xdr:row>
      <xdr:rowOff>19050</xdr:rowOff>
    </xdr:to>
    <xdr:graphicFrame macro="">
      <xdr:nvGraphicFramePr>
        <xdr:cNvPr id="9" name="Graphique 8">
          <a:extLst>
            <a:ext uri="{FF2B5EF4-FFF2-40B4-BE49-F238E27FC236}">
              <a16:creationId xmlns:a16="http://schemas.microsoft.com/office/drawing/2014/main" id="{712F3856-AB8E-1B09-FFA5-F1248DECD8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247649</xdr:colOff>
      <xdr:row>28</xdr:row>
      <xdr:rowOff>0</xdr:rowOff>
    </xdr:from>
    <xdr:to>
      <xdr:col>13</xdr:col>
      <xdr:colOff>136524</xdr:colOff>
      <xdr:row>39</xdr:row>
      <xdr:rowOff>114300</xdr:rowOff>
    </xdr:to>
    <xdr:graphicFrame macro="">
      <xdr:nvGraphicFramePr>
        <xdr:cNvPr id="10" name="Graphique 9">
          <a:extLst>
            <a:ext uri="{FF2B5EF4-FFF2-40B4-BE49-F238E27FC236}">
              <a16:creationId xmlns:a16="http://schemas.microsoft.com/office/drawing/2014/main" id="{E136343A-26F6-D906-344A-157011303B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552449</xdr:colOff>
      <xdr:row>41</xdr:row>
      <xdr:rowOff>31750</xdr:rowOff>
    </xdr:from>
    <xdr:to>
      <xdr:col>7</xdr:col>
      <xdr:colOff>285750</xdr:colOff>
      <xdr:row>53</xdr:row>
      <xdr:rowOff>114300</xdr:rowOff>
    </xdr:to>
    <xdr:graphicFrame macro="">
      <xdr:nvGraphicFramePr>
        <xdr:cNvPr id="11" name="Graphique 10">
          <a:extLst>
            <a:ext uri="{FF2B5EF4-FFF2-40B4-BE49-F238E27FC236}">
              <a16:creationId xmlns:a16="http://schemas.microsoft.com/office/drawing/2014/main" id="{FAFFAB04-F81B-4EC2-7C41-DE701E5EC8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120651</xdr:colOff>
      <xdr:row>41</xdr:row>
      <xdr:rowOff>25400</xdr:rowOff>
    </xdr:from>
    <xdr:to>
      <xdr:col>13</xdr:col>
      <xdr:colOff>231775</xdr:colOff>
      <xdr:row>53</xdr:row>
      <xdr:rowOff>114300</xdr:rowOff>
    </xdr:to>
    <xdr:graphicFrame macro="">
      <xdr:nvGraphicFramePr>
        <xdr:cNvPr id="12" name="Graphique 11">
          <a:extLst>
            <a:ext uri="{FF2B5EF4-FFF2-40B4-BE49-F238E27FC236}">
              <a16:creationId xmlns:a16="http://schemas.microsoft.com/office/drawing/2014/main" id="{E723328F-A544-1AD5-8F98-6A1F2A18AEE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</xdr:col>
      <xdr:colOff>682625</xdr:colOff>
      <xdr:row>12</xdr:row>
      <xdr:rowOff>22225</xdr:rowOff>
    </xdr:from>
    <xdr:to>
      <xdr:col>9</xdr:col>
      <xdr:colOff>682625</xdr:colOff>
      <xdr:row>27</xdr:row>
      <xdr:rowOff>3175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A77434E6-563A-2E37-C906-FA86A6E111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390524</xdr:colOff>
      <xdr:row>2</xdr:row>
      <xdr:rowOff>95250</xdr:rowOff>
    </xdr:from>
    <xdr:to>
      <xdr:col>24</xdr:col>
      <xdr:colOff>47625</xdr:colOff>
      <xdr:row>29</xdr:row>
      <xdr:rowOff>76199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07427A86-F44F-613E-E68D-7BD91D8CE8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102</xdr:row>
      <xdr:rowOff>36284</xdr:rowOff>
    </xdr:from>
    <xdr:to>
      <xdr:col>15</xdr:col>
      <xdr:colOff>358342</xdr:colOff>
      <xdr:row>129</xdr:row>
      <xdr:rowOff>37884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F8BE3D1E-438D-FC98-2F22-D6E154CA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2594429" y="21535570"/>
          <a:ext cx="7715270" cy="490017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34</xdr:col>
      <xdr:colOff>322035</xdr:colOff>
      <xdr:row>72</xdr:row>
      <xdr:rowOff>154214</xdr:rowOff>
    </xdr:from>
    <xdr:to>
      <xdr:col>41</xdr:col>
      <xdr:colOff>435428</xdr:colOff>
      <xdr:row>87</xdr:row>
      <xdr:rowOff>146957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FEDD91C8-4954-BAE3-77C4-33CB625D7F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1333500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F671A3C-16DE-4EA3-827B-A286C5DFEDBB}"/>
            </a:ext>
          </a:extLst>
        </xdr:cNvPr>
        <xdr:cNvSpPr/>
      </xdr:nvSpPr>
      <xdr:spPr>
        <a:xfrm>
          <a:off x="812004" y="2590292"/>
          <a:ext cx="20454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Léa G.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CDCF2653-CA0D-4E2E-934B-46B8A0BFC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193A7420-4505-4714-ABAA-F27AD9EC3DBA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D9FE69E5-26B6-4437-8CB2-95447A71E052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7640552E-EB6D-4B76-966B-4FEB6445EFB6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6827C576-2049-4B33-A4A3-EC5577080B97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73CE0AB3-9D5D-4BEB-BB44-1378565176EE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0F30D948-8E69-4046-A072-54768A24CE02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197567E7-F8B2-415A-8051-B03CCB1A2314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BB12744F-DDE9-4C66-AD6C-0941C89AFBF9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D7004729-1D00-43ED-AFA2-D29CD7D72E50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CCB025AB-DCA7-4490-BE34-76C453DDC674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C2EF8219-E687-4805-A969-0C08CF684209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A367FB58-1FBA-45EF-8A9C-900190D999FC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BD5B13F0-467D-4E87-A197-3662DF52BF73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08495ABB-0BF9-40CB-9A2B-457F874EAC34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380D2B7B-26FA-4BA8-8194-B128269D8F3A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FCFF94C6-4E62-4727-A4A0-F0CDC702D212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A90AF1A6-08F6-4BCA-85D9-6709060DF3F5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444B2900-6906-4BC6-ACE0-58C6714A0C6C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7AC25AA5-A1B2-4F56-B7B2-A2F7FFF34D5D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1F6B2210-DF95-4703-8A5D-753F68CB2E94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B652BE7F-9FDE-490A-85F7-CA3B68B7DF94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8C730A38-D386-4345-96AF-DDB55FF9F094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C708B7F2-5206-4E33-8C73-2E98ABD64921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E0D345FA-BCD9-4634-88F6-0E302F28F4B9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B55F5513-B983-414D-B11F-AC79C10CE89D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4DDCCD14-8063-4FB4-B17A-7D118B6A0D45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4A2571C0-B818-4A87-83EC-A9B79175C140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28A47800-391A-4FC8-BDAF-CF24FBCB89A4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F47985B2-92EF-4BF6-8E78-F4814F2EAFA1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E868570D-19E0-45D5-BE2C-54A978067DE9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EE066329-E6F7-4526-AD5A-5121CACB6E1F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0081B6ED-F0D9-40B3-9C9B-42F89D11FA10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54BDCFF4-D2EA-4DA3-A4F9-5D3F07BF13AA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7F664B3D-4F12-4EFE-8BAB-770104A07D46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DF91E2C8-D25C-4600-A7C9-0DF7B121221E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6E94CAD6-B6F7-422A-931F-688996F3D747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63500</xdr:colOff>
      <xdr:row>0</xdr:row>
      <xdr:rowOff>177801</xdr:rowOff>
    </xdr:from>
    <xdr:to>
      <xdr:col>2</xdr:col>
      <xdr:colOff>1320800</xdr:colOff>
      <xdr:row>13</xdr:row>
      <xdr:rowOff>10767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37CE94F6-6CD4-43E6-869D-D25F54CAF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77801"/>
          <a:ext cx="2019300" cy="2233266"/>
        </a:xfrm>
        <a:prstGeom prst="rect">
          <a:avLst/>
        </a:prstGeom>
      </xdr:spPr>
    </xdr:pic>
    <xdr:clientData/>
  </xdr:twoCellAnchor>
  <xdr:twoCellAnchor>
    <xdr:from>
      <xdr:col>8</xdr:col>
      <xdr:colOff>474980</xdr:colOff>
      <xdr:row>39</xdr:row>
      <xdr:rowOff>83820</xdr:rowOff>
    </xdr:from>
    <xdr:to>
      <xdr:col>8</xdr:col>
      <xdr:colOff>754380</xdr:colOff>
      <xdr:row>40</xdr:row>
      <xdr:rowOff>162560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2AECE7EA-08BF-4AE1-8526-345E5008E7A6}"/>
            </a:ext>
          </a:extLst>
        </xdr:cNvPr>
        <xdr:cNvSpPr/>
      </xdr:nvSpPr>
      <xdr:spPr>
        <a:xfrm>
          <a:off x="7320280" y="73037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744220</xdr:colOff>
      <xdr:row>35</xdr:row>
      <xdr:rowOff>139700</xdr:rowOff>
    </xdr:from>
    <xdr:to>
      <xdr:col>8</xdr:col>
      <xdr:colOff>195580</xdr:colOff>
      <xdr:row>37</xdr:row>
      <xdr:rowOff>15240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87092055-F192-4B12-B69A-95D35198CC14}"/>
            </a:ext>
          </a:extLst>
        </xdr:cNvPr>
        <xdr:cNvSpPr/>
      </xdr:nvSpPr>
      <xdr:spPr>
        <a:xfrm>
          <a:off x="6827520" y="6616700"/>
          <a:ext cx="213360" cy="2501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708660</xdr:colOff>
      <xdr:row>33</xdr:row>
      <xdr:rowOff>7620</xdr:rowOff>
    </xdr:from>
    <xdr:to>
      <xdr:col>7</xdr:col>
      <xdr:colOff>160020</xdr:colOff>
      <xdr:row>34</xdr:row>
      <xdr:rowOff>88900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B0138D9A-7D1F-4337-BA67-2BBD58D0B6DC}"/>
            </a:ext>
          </a:extLst>
        </xdr:cNvPr>
        <xdr:cNvSpPr/>
      </xdr:nvSpPr>
      <xdr:spPr>
        <a:xfrm>
          <a:off x="6029960" y="6109970"/>
          <a:ext cx="21336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32</xdr:row>
      <xdr:rowOff>30480</xdr:rowOff>
    </xdr:from>
    <xdr:to>
      <xdr:col>5</xdr:col>
      <xdr:colOff>266700</xdr:colOff>
      <xdr:row>33</xdr:row>
      <xdr:rowOff>111760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BDA53EEC-0BB1-4087-8828-A6233E49B279}"/>
            </a:ext>
          </a:extLst>
        </xdr:cNvPr>
        <xdr:cNvSpPr/>
      </xdr:nvSpPr>
      <xdr:spPr>
        <a:xfrm>
          <a:off x="4559300" y="5948680"/>
          <a:ext cx="2667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5080</xdr:colOff>
      <xdr:row>33</xdr:row>
      <xdr:rowOff>33020</xdr:rowOff>
    </xdr:from>
    <xdr:to>
      <xdr:col>3</xdr:col>
      <xdr:colOff>284480</xdr:colOff>
      <xdr:row>34</xdr:row>
      <xdr:rowOff>114300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DC62DC39-B02C-48B4-9DB2-43627B820255}"/>
            </a:ext>
          </a:extLst>
        </xdr:cNvPr>
        <xdr:cNvSpPr/>
      </xdr:nvSpPr>
      <xdr:spPr>
        <a:xfrm>
          <a:off x="3040380" y="613537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787400</xdr:colOff>
      <xdr:row>35</xdr:row>
      <xdr:rowOff>139700</xdr:rowOff>
    </xdr:from>
    <xdr:to>
      <xdr:col>2</xdr:col>
      <xdr:colOff>1066800</xdr:colOff>
      <xdr:row>37</xdr:row>
      <xdr:rowOff>15240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E9F5760B-6924-4741-9CF1-D1D807ACCD31}"/>
            </a:ext>
          </a:extLst>
        </xdr:cNvPr>
        <xdr:cNvSpPr/>
      </xdr:nvSpPr>
      <xdr:spPr>
        <a:xfrm>
          <a:off x="2311400" y="6616700"/>
          <a:ext cx="279400" cy="2501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292100</xdr:colOff>
      <xdr:row>39</xdr:row>
      <xdr:rowOff>83820</xdr:rowOff>
    </xdr:from>
    <xdr:to>
      <xdr:col>2</xdr:col>
      <xdr:colOff>571500</xdr:colOff>
      <xdr:row>40</xdr:row>
      <xdr:rowOff>162560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2B6DC6BA-4D1F-4FD1-A0B9-82F47D2BFD06}"/>
            </a:ext>
          </a:extLst>
        </xdr:cNvPr>
        <xdr:cNvSpPr/>
      </xdr:nvSpPr>
      <xdr:spPr>
        <a:xfrm>
          <a:off x="1816100" y="73037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1422400</xdr:colOff>
      <xdr:row>29</xdr:row>
      <xdr:rowOff>165100</xdr:rowOff>
    </xdr:from>
    <xdr:to>
      <xdr:col>3</xdr:col>
      <xdr:colOff>55880</xdr:colOff>
      <xdr:row>31</xdr:row>
      <xdr:rowOff>53340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A591FD5B-88EA-4155-B7B6-94A2B0746F75}"/>
            </a:ext>
          </a:extLst>
        </xdr:cNvPr>
        <xdr:cNvSpPr/>
      </xdr:nvSpPr>
      <xdr:spPr>
        <a:xfrm>
          <a:off x="2946400" y="5530850"/>
          <a:ext cx="14478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1117600</xdr:colOff>
      <xdr:row>26</xdr:row>
      <xdr:rowOff>68580</xdr:rowOff>
    </xdr:from>
    <xdr:to>
      <xdr:col>2</xdr:col>
      <xdr:colOff>1397000</xdr:colOff>
      <xdr:row>27</xdr:row>
      <xdr:rowOff>147320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CCB9071F-ABFF-4376-B95B-7D8FB5CE6527}"/>
            </a:ext>
          </a:extLst>
        </xdr:cNvPr>
        <xdr:cNvSpPr/>
      </xdr:nvSpPr>
      <xdr:spPr>
        <a:xfrm>
          <a:off x="2641600" y="48818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0</xdr:colOff>
      <xdr:row>25</xdr:row>
      <xdr:rowOff>0</xdr:rowOff>
    </xdr:from>
    <xdr:to>
      <xdr:col>5</xdr:col>
      <xdr:colOff>279400</xdr:colOff>
      <xdr:row>26</xdr:row>
      <xdr:rowOff>81280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EFF4A066-15B8-46F8-A056-A6F817C3D926}"/>
            </a:ext>
          </a:extLst>
        </xdr:cNvPr>
        <xdr:cNvSpPr/>
      </xdr:nvSpPr>
      <xdr:spPr>
        <a:xfrm>
          <a:off x="4559300" y="462915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515620</xdr:colOff>
      <xdr:row>26</xdr:row>
      <xdr:rowOff>119380</xdr:rowOff>
    </xdr:from>
    <xdr:to>
      <xdr:col>7</xdr:col>
      <xdr:colOff>792480</xdr:colOff>
      <xdr:row>28</xdr:row>
      <xdr:rowOff>7620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3F16B2A4-4D31-4883-BFCB-A85731309109}"/>
            </a:ext>
          </a:extLst>
        </xdr:cNvPr>
        <xdr:cNvSpPr/>
      </xdr:nvSpPr>
      <xdr:spPr>
        <a:xfrm>
          <a:off x="6598920" y="4932680"/>
          <a:ext cx="24511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223520</xdr:colOff>
      <xdr:row>29</xdr:row>
      <xdr:rowOff>139700</xdr:rowOff>
    </xdr:from>
    <xdr:to>
      <xdr:col>7</xdr:col>
      <xdr:colOff>502920</xdr:colOff>
      <xdr:row>31</xdr:row>
      <xdr:rowOff>27940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B68195D6-16A3-40EC-A54E-E8CBD3C500B4}"/>
            </a:ext>
          </a:extLst>
        </xdr:cNvPr>
        <xdr:cNvSpPr/>
      </xdr:nvSpPr>
      <xdr:spPr>
        <a:xfrm>
          <a:off x="6306820" y="5505450"/>
          <a:ext cx="2794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787400</xdr:colOff>
      <xdr:row>28</xdr:row>
      <xdr:rowOff>99060</xdr:rowOff>
    </xdr:from>
    <xdr:to>
      <xdr:col>5</xdr:col>
      <xdr:colOff>241300</xdr:colOff>
      <xdr:row>29</xdr:row>
      <xdr:rowOff>177800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2D97835F-4779-41BA-BE98-2A9527739E69}"/>
            </a:ext>
          </a:extLst>
        </xdr:cNvPr>
        <xdr:cNvSpPr/>
      </xdr:nvSpPr>
      <xdr:spPr>
        <a:xfrm>
          <a:off x="4559300" y="5280660"/>
          <a:ext cx="2413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708660</xdr:colOff>
      <xdr:row>25</xdr:row>
      <xdr:rowOff>152400</xdr:rowOff>
    </xdr:from>
    <xdr:to>
      <xdr:col>10</xdr:col>
      <xdr:colOff>162560</xdr:colOff>
      <xdr:row>27</xdr:row>
      <xdr:rowOff>40640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8E131679-7C99-4DD3-B8FC-ED297105AC9E}"/>
            </a:ext>
          </a:extLst>
        </xdr:cNvPr>
        <xdr:cNvSpPr/>
      </xdr:nvSpPr>
      <xdr:spPr>
        <a:xfrm>
          <a:off x="8315960" y="4781550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647700</xdr:colOff>
      <xdr:row>22</xdr:row>
      <xdr:rowOff>12700</xdr:rowOff>
    </xdr:from>
    <xdr:to>
      <xdr:col>10</xdr:col>
      <xdr:colOff>255561</xdr:colOff>
      <xdr:row>23</xdr:row>
      <xdr:rowOff>133491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2E106360-3B28-40F9-B6C5-73D96F47A0DA}"/>
            </a:ext>
          </a:extLst>
        </xdr:cNvPr>
        <xdr:cNvSpPr txBox="1"/>
      </xdr:nvSpPr>
      <xdr:spPr>
        <a:xfrm>
          <a:off x="8255000" y="4089400"/>
          <a:ext cx="369861" cy="3049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657523</xdr:colOff>
      <xdr:row>24</xdr:row>
      <xdr:rowOff>1940</xdr:rowOff>
    </xdr:from>
    <xdr:to>
      <xdr:col>10</xdr:col>
      <xdr:colOff>293661</xdr:colOff>
      <xdr:row>25</xdr:row>
      <xdr:rowOff>62371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601B5320-965D-4D35-BA30-2FF9F0A36BEC}"/>
            </a:ext>
          </a:extLst>
        </xdr:cNvPr>
        <xdr:cNvSpPr txBox="1"/>
      </xdr:nvSpPr>
      <xdr:spPr>
        <a:xfrm>
          <a:off x="8264823" y="4446940"/>
          <a:ext cx="398138" cy="24458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796393</xdr:colOff>
      <xdr:row>47</xdr:row>
      <xdr:rowOff>125456</xdr:rowOff>
    </xdr:from>
    <xdr:to>
      <xdr:col>7</xdr:col>
      <xdr:colOff>250293</xdr:colOff>
      <xdr:row>49</xdr:row>
      <xdr:rowOff>13696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CEE314F5-F54B-4F18-843F-831A1CCC85AA}"/>
            </a:ext>
          </a:extLst>
        </xdr:cNvPr>
        <xdr:cNvSpPr/>
      </xdr:nvSpPr>
      <xdr:spPr>
        <a:xfrm>
          <a:off x="6085943" y="8837656"/>
          <a:ext cx="24765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702413</xdr:colOff>
      <xdr:row>47</xdr:row>
      <xdr:rowOff>125456</xdr:rowOff>
    </xdr:from>
    <xdr:to>
      <xdr:col>4</xdr:col>
      <xdr:colOff>156313</xdr:colOff>
      <xdr:row>49</xdr:row>
      <xdr:rowOff>13696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B92D8A89-5EE7-4590-8FE7-A57EE96472E7}"/>
            </a:ext>
          </a:extLst>
        </xdr:cNvPr>
        <xdr:cNvSpPr/>
      </xdr:nvSpPr>
      <xdr:spPr>
        <a:xfrm>
          <a:off x="3737713" y="8837656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321890</xdr:colOff>
      <xdr:row>22</xdr:row>
      <xdr:rowOff>38100</xdr:rowOff>
    </xdr:from>
    <xdr:to>
      <xdr:col>11</xdr:col>
      <xdr:colOff>107871</xdr:colOff>
      <xdr:row>23</xdr:row>
      <xdr:rowOff>145502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586F2D95-A9F7-482D-A3E4-7383C82D328F}"/>
            </a:ext>
          </a:extLst>
        </xdr:cNvPr>
        <xdr:cNvSpPr txBox="1"/>
      </xdr:nvSpPr>
      <xdr:spPr>
        <a:xfrm>
          <a:off x="8691190" y="4114800"/>
          <a:ext cx="547981" cy="291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317500</xdr:colOff>
      <xdr:row>23</xdr:row>
      <xdr:rowOff>188147</xdr:rowOff>
    </xdr:from>
    <xdr:to>
      <xdr:col>11</xdr:col>
      <xdr:colOff>499846</xdr:colOff>
      <xdr:row>25</xdr:row>
      <xdr:rowOff>125118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FA93C162-EB9B-4BC4-B7BE-9DA461A45196}"/>
            </a:ext>
          </a:extLst>
        </xdr:cNvPr>
        <xdr:cNvSpPr txBox="1"/>
      </xdr:nvSpPr>
      <xdr:spPr>
        <a:xfrm>
          <a:off x="8686800" y="4442647"/>
          <a:ext cx="944346" cy="31162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317500</xdr:colOff>
      <xdr:row>25</xdr:row>
      <xdr:rowOff>152086</xdr:rowOff>
    </xdr:from>
    <xdr:to>
      <xdr:col>11</xdr:col>
      <xdr:colOff>421451</xdr:colOff>
      <xdr:row>27</xdr:row>
      <xdr:rowOff>104736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BB59E7BD-3AAF-49A0-A7F4-8676B0C4D861}"/>
            </a:ext>
          </a:extLst>
        </xdr:cNvPr>
        <xdr:cNvSpPr txBox="1"/>
      </xdr:nvSpPr>
      <xdr:spPr>
        <a:xfrm>
          <a:off x="8686800" y="47812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1435100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6C5E19AB-D11C-4E4F-8A4B-CE6DA2A2248D}"/>
            </a:ext>
          </a:extLst>
        </xdr:cNvPr>
        <xdr:cNvSpPr/>
      </xdr:nvSpPr>
      <xdr:spPr>
        <a:xfrm>
          <a:off x="812004" y="2590292"/>
          <a:ext cx="21470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Laura-Lyne L.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7E89BAB6-991E-47D3-8C73-DD20782A8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0E21F4F9-8FE0-4D81-B97F-08026F609133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CEB36EAE-5CFF-4357-A2BA-154C2E6701E1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92151D6B-932C-4F2E-A2F4-B1BDCAD43AE4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651CF025-FFE6-4760-9D8F-9FDA604C3F70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D574C34E-EF3F-467D-AE60-094E2FAC0951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2B0C0B77-6B2A-40B0-9961-D0F77EB79625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73E8483E-321C-446A-9D17-39E038059645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BD6DD0AC-612A-49A3-94CF-5DC24576A943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18D9AB40-F354-4B0D-B734-EAB8E0486E1B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41F07C96-723C-4011-B7F6-89C9D28BAC0C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CA4D3C36-A3D1-4A64-AC19-7106BDAB8659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A080C0BD-81E9-4A6E-A25B-594DB3E7590C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1B826AAB-1706-4A97-B617-84603DC7C859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91E81095-D703-4D5B-897B-138E1B80CF60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F6A06709-78F2-4AAB-B888-E86560C41813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FCD70568-5BE3-4BCA-A7BA-AC51914A3A09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0B3D2B19-A5D5-4348-999B-0A6CEC1DAA64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B3B9B44A-AC3B-4336-BEAC-CD5E85E8FBF5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C851A500-BF80-49ED-95F9-8879050C8ECC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C4DBE7E5-E8D0-47CF-8514-902D6A488D9F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4D9E3807-FC59-48C1-832C-8298ED781740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7378AD38-7955-409B-9069-CB5518DEC28D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D2BCA62B-3BC2-42E1-A5DF-8EE82264B4C7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100,0%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99123C71-C546-4034-8976-F7A86539C681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AF5E620B-36AF-4CB4-9E5A-CEE503128AB5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F0F2794E-C79C-429A-93B5-C23A1801D467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8F32B7F7-DDFC-430D-9B4A-03A07D68A573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5833C45A-A581-480E-BAA6-CFD44FC40F82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05FD0C92-70DE-49C8-9292-780F1A28047E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CFE361A7-0021-4799-8540-20456312CC5F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4A096A47-0E4E-4CF3-8EFE-FA862E3B4BC8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22DC5F4A-2D3E-45F4-8680-5ECDAEE21D51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D22630D5-3AFD-424C-911B-A82D3A3EA41F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2C4593C9-7522-401F-A077-C280364FFC20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240C6DCA-405E-42EC-940A-546F86F798BD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CBBFA0AB-75E1-4D15-AA76-EDAAB518F0EE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63500</xdr:colOff>
      <xdr:row>0</xdr:row>
      <xdr:rowOff>114300</xdr:rowOff>
    </xdr:from>
    <xdr:to>
      <xdr:col>2</xdr:col>
      <xdr:colOff>1447800</xdr:colOff>
      <xdr:row>13</xdr:row>
      <xdr:rowOff>88863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DD4A8C1F-C074-4D6E-97D4-A3AC437DB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14300"/>
          <a:ext cx="2146300" cy="2374863"/>
        </a:xfrm>
        <a:prstGeom prst="rect">
          <a:avLst/>
        </a:prstGeom>
      </xdr:spPr>
    </xdr:pic>
    <xdr:clientData/>
  </xdr:twoCellAnchor>
  <xdr:twoCellAnchor>
    <xdr:from>
      <xdr:col>8</xdr:col>
      <xdr:colOff>500380</xdr:colOff>
      <xdr:row>39</xdr:row>
      <xdr:rowOff>45720</xdr:rowOff>
    </xdr:from>
    <xdr:to>
      <xdr:col>8</xdr:col>
      <xdr:colOff>779780</xdr:colOff>
      <xdr:row>40</xdr:row>
      <xdr:rowOff>124460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BAC87C1E-2070-47EA-AAFA-55B72C9428EE}"/>
            </a:ext>
          </a:extLst>
        </xdr:cNvPr>
        <xdr:cNvSpPr/>
      </xdr:nvSpPr>
      <xdr:spPr>
        <a:xfrm>
          <a:off x="7345680" y="7265670"/>
          <a:ext cx="2603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769620</xdr:colOff>
      <xdr:row>35</xdr:row>
      <xdr:rowOff>101600</xdr:rowOff>
    </xdr:from>
    <xdr:to>
      <xdr:col>8</xdr:col>
      <xdr:colOff>220980</xdr:colOff>
      <xdr:row>36</xdr:row>
      <xdr:rowOff>180340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D190547B-8AB8-48BF-AD66-929FEAC178E4}"/>
            </a:ext>
          </a:extLst>
        </xdr:cNvPr>
        <xdr:cNvSpPr/>
      </xdr:nvSpPr>
      <xdr:spPr>
        <a:xfrm>
          <a:off x="6846570" y="657860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734060</xdr:colOff>
      <xdr:row>32</xdr:row>
      <xdr:rowOff>160020</xdr:rowOff>
    </xdr:from>
    <xdr:to>
      <xdr:col>7</xdr:col>
      <xdr:colOff>185420</xdr:colOff>
      <xdr:row>34</xdr:row>
      <xdr:rowOff>50800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75DBC105-A052-47AA-9257-2496D6139AC2}"/>
            </a:ext>
          </a:extLst>
        </xdr:cNvPr>
        <xdr:cNvSpPr/>
      </xdr:nvSpPr>
      <xdr:spPr>
        <a:xfrm>
          <a:off x="6055360" y="60782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31</xdr:row>
      <xdr:rowOff>182880</xdr:rowOff>
    </xdr:from>
    <xdr:to>
      <xdr:col>5</xdr:col>
      <xdr:colOff>292100</xdr:colOff>
      <xdr:row>33</xdr:row>
      <xdr:rowOff>73660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50FD6C50-B077-4B9B-91C4-E8A9A660AAE5}"/>
            </a:ext>
          </a:extLst>
        </xdr:cNvPr>
        <xdr:cNvSpPr/>
      </xdr:nvSpPr>
      <xdr:spPr>
        <a:xfrm>
          <a:off x="4572000" y="591693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30480</xdr:colOff>
      <xdr:row>32</xdr:row>
      <xdr:rowOff>185420</xdr:rowOff>
    </xdr:from>
    <xdr:to>
      <xdr:col>3</xdr:col>
      <xdr:colOff>309880</xdr:colOff>
      <xdr:row>34</xdr:row>
      <xdr:rowOff>76200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25DFF9B0-6FE3-42BC-8D37-7369A0CE7282}"/>
            </a:ext>
          </a:extLst>
        </xdr:cNvPr>
        <xdr:cNvSpPr/>
      </xdr:nvSpPr>
      <xdr:spPr>
        <a:xfrm>
          <a:off x="3065780" y="610362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812800</xdr:colOff>
      <xdr:row>35</xdr:row>
      <xdr:rowOff>101600</xdr:rowOff>
    </xdr:from>
    <xdr:to>
      <xdr:col>2</xdr:col>
      <xdr:colOff>1092200</xdr:colOff>
      <xdr:row>36</xdr:row>
      <xdr:rowOff>180340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17729FDC-2E7E-44C1-989E-40F33FA35B3B}"/>
            </a:ext>
          </a:extLst>
        </xdr:cNvPr>
        <xdr:cNvSpPr/>
      </xdr:nvSpPr>
      <xdr:spPr>
        <a:xfrm>
          <a:off x="2336800" y="65786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317500</xdr:colOff>
      <xdr:row>39</xdr:row>
      <xdr:rowOff>45720</xdr:rowOff>
    </xdr:from>
    <xdr:to>
      <xdr:col>2</xdr:col>
      <xdr:colOff>596900</xdr:colOff>
      <xdr:row>40</xdr:row>
      <xdr:rowOff>124460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A7EBBD23-990C-4B5A-A64F-F8F2DA604F1E}"/>
            </a:ext>
          </a:extLst>
        </xdr:cNvPr>
        <xdr:cNvSpPr/>
      </xdr:nvSpPr>
      <xdr:spPr>
        <a:xfrm>
          <a:off x="1841500" y="72656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1447800</xdr:colOff>
      <xdr:row>29</xdr:row>
      <xdr:rowOff>127000</xdr:rowOff>
    </xdr:from>
    <xdr:to>
      <xdr:col>3</xdr:col>
      <xdr:colOff>81280</xdr:colOff>
      <xdr:row>31</xdr:row>
      <xdr:rowOff>15240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DD0CC748-F6A8-48CB-9C40-85C1778D22E9}"/>
            </a:ext>
          </a:extLst>
        </xdr:cNvPr>
        <xdr:cNvSpPr/>
      </xdr:nvSpPr>
      <xdr:spPr>
        <a:xfrm>
          <a:off x="2971800" y="5492750"/>
          <a:ext cx="14478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1143000</xdr:colOff>
      <xdr:row>26</xdr:row>
      <xdr:rowOff>30480</xdr:rowOff>
    </xdr:from>
    <xdr:to>
      <xdr:col>2</xdr:col>
      <xdr:colOff>1422400</xdr:colOff>
      <xdr:row>27</xdr:row>
      <xdr:rowOff>109220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8D211DE1-17E0-43B3-9BC2-1CE4CD37CB0A}"/>
            </a:ext>
          </a:extLst>
        </xdr:cNvPr>
        <xdr:cNvSpPr/>
      </xdr:nvSpPr>
      <xdr:spPr>
        <a:xfrm>
          <a:off x="2667000" y="48437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25400</xdr:colOff>
      <xdr:row>24</xdr:row>
      <xdr:rowOff>152400</xdr:rowOff>
    </xdr:from>
    <xdr:to>
      <xdr:col>5</xdr:col>
      <xdr:colOff>304800</xdr:colOff>
      <xdr:row>26</xdr:row>
      <xdr:rowOff>43180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76DF46BF-F18C-4F94-AEC7-2DB94B6C0D55}"/>
            </a:ext>
          </a:extLst>
        </xdr:cNvPr>
        <xdr:cNvSpPr/>
      </xdr:nvSpPr>
      <xdr:spPr>
        <a:xfrm>
          <a:off x="4584700" y="45974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541020</xdr:colOff>
      <xdr:row>26</xdr:row>
      <xdr:rowOff>81280</xdr:rowOff>
    </xdr:from>
    <xdr:to>
      <xdr:col>7</xdr:col>
      <xdr:colOff>817880</xdr:colOff>
      <xdr:row>27</xdr:row>
      <xdr:rowOff>160020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A8D9AAD4-74C4-441F-9C96-9DA8DEB4D512}"/>
            </a:ext>
          </a:extLst>
        </xdr:cNvPr>
        <xdr:cNvSpPr/>
      </xdr:nvSpPr>
      <xdr:spPr>
        <a:xfrm>
          <a:off x="6624320" y="489458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248920</xdr:colOff>
      <xdr:row>29</xdr:row>
      <xdr:rowOff>101600</xdr:rowOff>
    </xdr:from>
    <xdr:to>
      <xdr:col>7</xdr:col>
      <xdr:colOff>528320</xdr:colOff>
      <xdr:row>30</xdr:row>
      <xdr:rowOff>180340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72229B48-787E-4D26-A25A-CE5CE063DDD9}"/>
            </a:ext>
          </a:extLst>
        </xdr:cNvPr>
        <xdr:cNvSpPr/>
      </xdr:nvSpPr>
      <xdr:spPr>
        <a:xfrm>
          <a:off x="6332220" y="546735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28</xdr:row>
      <xdr:rowOff>60960</xdr:rowOff>
    </xdr:from>
    <xdr:to>
      <xdr:col>5</xdr:col>
      <xdr:colOff>266700</xdr:colOff>
      <xdr:row>29</xdr:row>
      <xdr:rowOff>139700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33031458-B9EE-4926-80FB-BFFA205F77A1}"/>
            </a:ext>
          </a:extLst>
        </xdr:cNvPr>
        <xdr:cNvSpPr/>
      </xdr:nvSpPr>
      <xdr:spPr>
        <a:xfrm>
          <a:off x="4559300" y="5242560"/>
          <a:ext cx="2667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734060</xdr:colOff>
      <xdr:row>25</xdr:row>
      <xdr:rowOff>114300</xdr:rowOff>
    </xdr:from>
    <xdr:to>
      <xdr:col>10</xdr:col>
      <xdr:colOff>187960</xdr:colOff>
      <xdr:row>27</xdr:row>
      <xdr:rowOff>2540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44E4E9DC-D367-44F1-8A7E-D1F23AFE5442}"/>
            </a:ext>
          </a:extLst>
        </xdr:cNvPr>
        <xdr:cNvSpPr/>
      </xdr:nvSpPr>
      <xdr:spPr>
        <a:xfrm>
          <a:off x="8341360" y="4743450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673100</xdr:colOff>
      <xdr:row>21</xdr:row>
      <xdr:rowOff>177800</xdr:rowOff>
    </xdr:from>
    <xdr:to>
      <xdr:col>10</xdr:col>
      <xdr:colOff>280961</xdr:colOff>
      <xdr:row>23</xdr:row>
      <xdr:rowOff>95391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23B67592-372C-46A2-A6B9-9F50F93733BF}"/>
            </a:ext>
          </a:extLst>
        </xdr:cNvPr>
        <xdr:cNvSpPr txBox="1"/>
      </xdr:nvSpPr>
      <xdr:spPr>
        <a:xfrm>
          <a:off x="8280400" y="40640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682923</xdr:colOff>
      <xdr:row>23</xdr:row>
      <xdr:rowOff>154340</xdr:rowOff>
    </xdr:from>
    <xdr:to>
      <xdr:col>10</xdr:col>
      <xdr:colOff>319061</xdr:colOff>
      <xdr:row>25</xdr:row>
      <xdr:rowOff>24271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B008EBC0-9C72-421D-B520-19B90E58DEDD}"/>
            </a:ext>
          </a:extLst>
        </xdr:cNvPr>
        <xdr:cNvSpPr txBox="1"/>
      </xdr:nvSpPr>
      <xdr:spPr>
        <a:xfrm>
          <a:off x="8290223" y="44151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821793</xdr:colOff>
      <xdr:row>47</xdr:row>
      <xdr:rowOff>87356</xdr:rowOff>
    </xdr:from>
    <xdr:to>
      <xdr:col>7</xdr:col>
      <xdr:colOff>275693</xdr:colOff>
      <xdr:row>48</xdr:row>
      <xdr:rowOff>166096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DA84DD2F-BE43-4C54-A6F7-F494673F4F85}"/>
            </a:ext>
          </a:extLst>
        </xdr:cNvPr>
        <xdr:cNvSpPr/>
      </xdr:nvSpPr>
      <xdr:spPr>
        <a:xfrm>
          <a:off x="6085943" y="8799556"/>
          <a:ext cx="2730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727813</xdr:colOff>
      <xdr:row>47</xdr:row>
      <xdr:rowOff>87356</xdr:rowOff>
    </xdr:from>
    <xdr:to>
      <xdr:col>4</xdr:col>
      <xdr:colOff>181713</xdr:colOff>
      <xdr:row>48</xdr:row>
      <xdr:rowOff>166096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21B56A25-4F74-4B98-9089-058F0BD92479}"/>
            </a:ext>
          </a:extLst>
        </xdr:cNvPr>
        <xdr:cNvSpPr/>
      </xdr:nvSpPr>
      <xdr:spPr>
        <a:xfrm>
          <a:off x="3763113" y="87995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321890</xdr:colOff>
      <xdr:row>22</xdr:row>
      <xdr:rowOff>0</xdr:rowOff>
    </xdr:from>
    <xdr:to>
      <xdr:col>11</xdr:col>
      <xdr:colOff>107871</xdr:colOff>
      <xdr:row>23</xdr:row>
      <xdr:rowOff>107402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9E40E025-5A56-490F-A81F-356F3EC7F471}"/>
            </a:ext>
          </a:extLst>
        </xdr:cNvPr>
        <xdr:cNvSpPr txBox="1"/>
      </xdr:nvSpPr>
      <xdr:spPr>
        <a:xfrm>
          <a:off x="8691190" y="4076700"/>
          <a:ext cx="547981" cy="291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317500</xdr:colOff>
      <xdr:row>23</xdr:row>
      <xdr:rowOff>150047</xdr:rowOff>
    </xdr:from>
    <xdr:to>
      <xdr:col>11</xdr:col>
      <xdr:colOff>499846</xdr:colOff>
      <xdr:row>25</xdr:row>
      <xdr:rowOff>87018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3B85972D-3CAC-415D-B3C9-A3482E33AD3D}"/>
            </a:ext>
          </a:extLst>
        </xdr:cNvPr>
        <xdr:cNvSpPr txBox="1"/>
      </xdr:nvSpPr>
      <xdr:spPr>
        <a:xfrm>
          <a:off x="8686800" y="44108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317500</xdr:colOff>
      <xdr:row>25</xdr:row>
      <xdr:rowOff>113986</xdr:rowOff>
    </xdr:from>
    <xdr:to>
      <xdr:col>11</xdr:col>
      <xdr:colOff>421451</xdr:colOff>
      <xdr:row>27</xdr:row>
      <xdr:rowOff>66636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2094015F-3124-46D2-9301-6EAC27AA119A}"/>
            </a:ext>
          </a:extLst>
        </xdr:cNvPr>
        <xdr:cNvSpPr txBox="1"/>
      </xdr:nvSpPr>
      <xdr:spPr>
        <a:xfrm>
          <a:off x="8686800" y="47431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1333500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633E4AC-821D-4073-B1EF-0131296313C1}"/>
            </a:ext>
          </a:extLst>
        </xdr:cNvPr>
        <xdr:cNvSpPr/>
      </xdr:nvSpPr>
      <xdr:spPr>
        <a:xfrm>
          <a:off x="812004" y="2590292"/>
          <a:ext cx="20454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Ingrid N.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30010BA2-66DC-4BF6-8D12-64A158751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F50ADB72-C94C-4D6B-85CA-628FA8AB2B28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D7779826-7F4C-4162-91F7-ACC3CBCF828F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15A5591F-96D8-4567-9A9C-D1E3A0E25FE0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61BF9D4E-DDE6-46D6-84E8-7F83E1E479D0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DA1389E1-6FDE-4923-A23A-CF045D2A6463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8207F91F-D9AB-4558-A287-74DE197B9B8E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00184AC2-FDAC-4DD4-A7B2-51A9EFBB2E70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4C3AA628-192C-44EB-A738-BE91A8EA7D3B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E3ADED3D-2255-42F0-AEF4-9AB780A343BD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52A22535-28CC-4873-8279-3BC3621B43F0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0%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D2A73FE6-4B2D-4B79-8F4F-12A13A39FD7A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A661662B-9E57-4C5C-AE01-E44B7FEBDD64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2F90FD32-FF6A-4B57-8EE7-A078FD66D578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63C4EF57-E44B-4F4B-B4CD-14767E55C2C3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B017C94B-DE15-4736-BB92-D66142369631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387DBE6F-A3A1-406B-BE62-1E241BBAB48A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C1CF0653-924E-46A7-9DC2-76D3D49040EC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9DB38303-3574-41DB-B645-FC30C0D7AFB9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BB5B1EFE-0102-4E8C-B190-739C070ADFF4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9A94E2A7-6746-4ED4-9CD2-06D7DE06A5E8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AA7AE156-A370-4083-A572-468332D73646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10A4A8C3-0A2B-4009-A120-A1481AD86F57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C307E07C-F4D5-4573-A683-1C17AABE397A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BE9B8273-6A4C-413B-A2A2-7CF3413786A1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93960D39-72EA-4A06-9403-0006ED14A083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EBB880C8-811C-41C5-811B-9A6E5A1A58F1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FFBA4501-5FA9-41CA-A1F0-E9F296D0592D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A6C6F93E-15D7-4514-8D9A-F560581CFAF3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A142A580-1669-4EB7-BB69-ED5BF3871519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8C6CEE68-5CD3-443C-94CE-F8C87EBB33E5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100,0%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9EEBB8CF-BDB0-448F-AF3D-6B77DBD78727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C22BD335-04D0-4CCF-99D1-2E371E6A5EF2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69DDFC73-B714-4903-B88C-8A06A9709256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81B7F663-6A0E-465D-A094-BB39850E030B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F51E9D2C-08F1-4ED6-8F68-7BA35792058D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756C3167-A170-4332-B90D-DD54BAB7C402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63500</xdr:colOff>
      <xdr:row>1</xdr:row>
      <xdr:rowOff>12700</xdr:rowOff>
    </xdr:from>
    <xdr:to>
      <xdr:col>2</xdr:col>
      <xdr:colOff>1320800</xdr:colOff>
      <xdr:row>13</xdr:row>
      <xdr:rowOff>36167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4386B462-EF56-4790-833D-C9E045FA3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96850"/>
          <a:ext cx="2019300" cy="2239617"/>
        </a:xfrm>
        <a:prstGeom prst="rect">
          <a:avLst/>
        </a:prstGeom>
      </xdr:spPr>
    </xdr:pic>
    <xdr:clientData/>
  </xdr:twoCellAnchor>
  <xdr:twoCellAnchor>
    <xdr:from>
      <xdr:col>8</xdr:col>
      <xdr:colOff>500380</xdr:colOff>
      <xdr:row>39</xdr:row>
      <xdr:rowOff>58420</xdr:rowOff>
    </xdr:from>
    <xdr:to>
      <xdr:col>8</xdr:col>
      <xdr:colOff>779780</xdr:colOff>
      <xdr:row>40</xdr:row>
      <xdr:rowOff>137160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4BAB152D-F78E-487C-BC07-5091FC378070}"/>
            </a:ext>
          </a:extLst>
        </xdr:cNvPr>
        <xdr:cNvSpPr/>
      </xdr:nvSpPr>
      <xdr:spPr>
        <a:xfrm>
          <a:off x="7345680" y="7278370"/>
          <a:ext cx="2603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769620</xdr:colOff>
      <xdr:row>35</xdr:row>
      <xdr:rowOff>114300</xdr:rowOff>
    </xdr:from>
    <xdr:to>
      <xdr:col>8</xdr:col>
      <xdr:colOff>220980</xdr:colOff>
      <xdr:row>36</xdr:row>
      <xdr:rowOff>193040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6D6D70A2-8FE7-401F-95E4-64E7ED30145E}"/>
            </a:ext>
          </a:extLst>
        </xdr:cNvPr>
        <xdr:cNvSpPr/>
      </xdr:nvSpPr>
      <xdr:spPr>
        <a:xfrm>
          <a:off x="6846570" y="659130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734060</xdr:colOff>
      <xdr:row>32</xdr:row>
      <xdr:rowOff>172720</xdr:rowOff>
    </xdr:from>
    <xdr:to>
      <xdr:col>7</xdr:col>
      <xdr:colOff>185420</xdr:colOff>
      <xdr:row>34</xdr:row>
      <xdr:rowOff>63500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B5848576-EC2F-44C9-A098-FD8FFC4F3FAE}"/>
            </a:ext>
          </a:extLst>
        </xdr:cNvPr>
        <xdr:cNvSpPr/>
      </xdr:nvSpPr>
      <xdr:spPr>
        <a:xfrm>
          <a:off x="6055360" y="60909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32</xdr:row>
      <xdr:rowOff>5080</xdr:rowOff>
    </xdr:from>
    <xdr:to>
      <xdr:col>5</xdr:col>
      <xdr:colOff>292100</xdr:colOff>
      <xdr:row>33</xdr:row>
      <xdr:rowOff>86360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1FCA7A17-A641-48F5-BA54-FE9AE142711B}"/>
            </a:ext>
          </a:extLst>
        </xdr:cNvPr>
        <xdr:cNvSpPr/>
      </xdr:nvSpPr>
      <xdr:spPr>
        <a:xfrm>
          <a:off x="4572000" y="592328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30480</xdr:colOff>
      <xdr:row>33</xdr:row>
      <xdr:rowOff>7620</xdr:rowOff>
    </xdr:from>
    <xdr:to>
      <xdr:col>3</xdr:col>
      <xdr:colOff>309880</xdr:colOff>
      <xdr:row>34</xdr:row>
      <xdr:rowOff>88900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C8F3B194-9E67-4235-8CB5-0A4C80C42D7E}"/>
            </a:ext>
          </a:extLst>
        </xdr:cNvPr>
        <xdr:cNvSpPr/>
      </xdr:nvSpPr>
      <xdr:spPr>
        <a:xfrm>
          <a:off x="3065780" y="610997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812800</xdr:colOff>
      <xdr:row>35</xdr:row>
      <xdr:rowOff>114300</xdr:rowOff>
    </xdr:from>
    <xdr:to>
      <xdr:col>2</xdr:col>
      <xdr:colOff>1092200</xdr:colOff>
      <xdr:row>36</xdr:row>
      <xdr:rowOff>193040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CAF16156-49D7-4950-9CBF-B3D885D3DA1A}"/>
            </a:ext>
          </a:extLst>
        </xdr:cNvPr>
        <xdr:cNvSpPr/>
      </xdr:nvSpPr>
      <xdr:spPr>
        <a:xfrm>
          <a:off x="2336800" y="65913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317500</xdr:colOff>
      <xdr:row>39</xdr:row>
      <xdr:rowOff>58420</xdr:rowOff>
    </xdr:from>
    <xdr:to>
      <xdr:col>2</xdr:col>
      <xdr:colOff>596900</xdr:colOff>
      <xdr:row>40</xdr:row>
      <xdr:rowOff>137160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88A11DC9-19BE-47B0-A10F-BA591A4BAB4D}"/>
            </a:ext>
          </a:extLst>
        </xdr:cNvPr>
        <xdr:cNvSpPr/>
      </xdr:nvSpPr>
      <xdr:spPr>
        <a:xfrm>
          <a:off x="1841500" y="72783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1447800</xdr:colOff>
      <xdr:row>29</xdr:row>
      <xdr:rowOff>139700</xdr:rowOff>
    </xdr:from>
    <xdr:to>
      <xdr:col>3</xdr:col>
      <xdr:colOff>81280</xdr:colOff>
      <xdr:row>31</xdr:row>
      <xdr:rowOff>27940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BB52CABE-912C-4C96-9FC3-2BE2FC97271D}"/>
            </a:ext>
          </a:extLst>
        </xdr:cNvPr>
        <xdr:cNvSpPr/>
      </xdr:nvSpPr>
      <xdr:spPr>
        <a:xfrm>
          <a:off x="2971800" y="5505450"/>
          <a:ext cx="14478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1143000</xdr:colOff>
      <xdr:row>26</xdr:row>
      <xdr:rowOff>43180</xdr:rowOff>
    </xdr:from>
    <xdr:to>
      <xdr:col>2</xdr:col>
      <xdr:colOff>1422400</xdr:colOff>
      <xdr:row>27</xdr:row>
      <xdr:rowOff>121920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BC33ADD8-FF8E-4EAC-B2A5-7E2CFA161B87}"/>
            </a:ext>
          </a:extLst>
        </xdr:cNvPr>
        <xdr:cNvSpPr/>
      </xdr:nvSpPr>
      <xdr:spPr>
        <a:xfrm>
          <a:off x="2667000" y="48564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25400</xdr:colOff>
      <xdr:row>24</xdr:row>
      <xdr:rowOff>165100</xdr:rowOff>
    </xdr:from>
    <xdr:to>
      <xdr:col>5</xdr:col>
      <xdr:colOff>304800</xdr:colOff>
      <xdr:row>26</xdr:row>
      <xdr:rowOff>55880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96A01CC3-9E6F-43EF-98E5-F874BBD60FCA}"/>
            </a:ext>
          </a:extLst>
        </xdr:cNvPr>
        <xdr:cNvSpPr/>
      </xdr:nvSpPr>
      <xdr:spPr>
        <a:xfrm>
          <a:off x="4584700" y="46101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541020</xdr:colOff>
      <xdr:row>26</xdr:row>
      <xdr:rowOff>93980</xdr:rowOff>
    </xdr:from>
    <xdr:to>
      <xdr:col>7</xdr:col>
      <xdr:colOff>817880</xdr:colOff>
      <xdr:row>27</xdr:row>
      <xdr:rowOff>172720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F0D91A32-5BD6-48ED-A220-B730AD05273F}"/>
            </a:ext>
          </a:extLst>
        </xdr:cNvPr>
        <xdr:cNvSpPr/>
      </xdr:nvSpPr>
      <xdr:spPr>
        <a:xfrm>
          <a:off x="6624320" y="490728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248920</xdr:colOff>
      <xdr:row>29</xdr:row>
      <xdr:rowOff>114300</xdr:rowOff>
    </xdr:from>
    <xdr:to>
      <xdr:col>7</xdr:col>
      <xdr:colOff>528320</xdr:colOff>
      <xdr:row>31</xdr:row>
      <xdr:rowOff>2540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A2FE1432-FB92-4107-A12B-A72F39280F8D}"/>
            </a:ext>
          </a:extLst>
        </xdr:cNvPr>
        <xdr:cNvSpPr/>
      </xdr:nvSpPr>
      <xdr:spPr>
        <a:xfrm>
          <a:off x="6332220" y="5480050"/>
          <a:ext cx="2794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28</xdr:row>
      <xdr:rowOff>73660</xdr:rowOff>
    </xdr:from>
    <xdr:to>
      <xdr:col>5</xdr:col>
      <xdr:colOff>266700</xdr:colOff>
      <xdr:row>29</xdr:row>
      <xdr:rowOff>152400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018D8C80-0922-4B56-A8D2-72628DE56A99}"/>
            </a:ext>
          </a:extLst>
        </xdr:cNvPr>
        <xdr:cNvSpPr/>
      </xdr:nvSpPr>
      <xdr:spPr>
        <a:xfrm>
          <a:off x="4559300" y="5255260"/>
          <a:ext cx="2667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734060</xdr:colOff>
      <xdr:row>25</xdr:row>
      <xdr:rowOff>127000</xdr:rowOff>
    </xdr:from>
    <xdr:to>
      <xdr:col>10</xdr:col>
      <xdr:colOff>187960</xdr:colOff>
      <xdr:row>27</xdr:row>
      <xdr:rowOff>15240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13DD07C2-5800-4CFA-BB34-35F705414AAE}"/>
            </a:ext>
          </a:extLst>
        </xdr:cNvPr>
        <xdr:cNvSpPr/>
      </xdr:nvSpPr>
      <xdr:spPr>
        <a:xfrm>
          <a:off x="8341360" y="4756150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673100</xdr:colOff>
      <xdr:row>21</xdr:row>
      <xdr:rowOff>190500</xdr:rowOff>
    </xdr:from>
    <xdr:to>
      <xdr:col>10</xdr:col>
      <xdr:colOff>280961</xdr:colOff>
      <xdr:row>23</xdr:row>
      <xdr:rowOff>108091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04044835-8997-42A9-B22D-5B96A4DD9F1D}"/>
            </a:ext>
          </a:extLst>
        </xdr:cNvPr>
        <xdr:cNvSpPr txBox="1"/>
      </xdr:nvSpPr>
      <xdr:spPr>
        <a:xfrm>
          <a:off x="8280400" y="40767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682923</xdr:colOff>
      <xdr:row>23</xdr:row>
      <xdr:rowOff>167040</xdr:rowOff>
    </xdr:from>
    <xdr:to>
      <xdr:col>10</xdr:col>
      <xdr:colOff>319061</xdr:colOff>
      <xdr:row>25</xdr:row>
      <xdr:rowOff>36971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DA6FA7CD-7FAC-4867-9451-657F7B5DF2C0}"/>
            </a:ext>
          </a:extLst>
        </xdr:cNvPr>
        <xdr:cNvSpPr txBox="1"/>
      </xdr:nvSpPr>
      <xdr:spPr>
        <a:xfrm>
          <a:off x="8290223" y="44278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821793</xdr:colOff>
      <xdr:row>47</xdr:row>
      <xdr:rowOff>100056</xdr:rowOff>
    </xdr:from>
    <xdr:to>
      <xdr:col>7</xdr:col>
      <xdr:colOff>275693</xdr:colOff>
      <xdr:row>48</xdr:row>
      <xdr:rowOff>178796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0E1659C6-1E9B-4D39-B736-EE8F1ED76807}"/>
            </a:ext>
          </a:extLst>
        </xdr:cNvPr>
        <xdr:cNvSpPr/>
      </xdr:nvSpPr>
      <xdr:spPr>
        <a:xfrm>
          <a:off x="6085943" y="8812256"/>
          <a:ext cx="2730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727813</xdr:colOff>
      <xdr:row>47</xdr:row>
      <xdr:rowOff>100056</xdr:rowOff>
    </xdr:from>
    <xdr:to>
      <xdr:col>4</xdr:col>
      <xdr:colOff>181713</xdr:colOff>
      <xdr:row>48</xdr:row>
      <xdr:rowOff>178796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325306EC-8827-4DE5-9808-F0ED2F297C92}"/>
            </a:ext>
          </a:extLst>
        </xdr:cNvPr>
        <xdr:cNvSpPr/>
      </xdr:nvSpPr>
      <xdr:spPr>
        <a:xfrm>
          <a:off x="3763113" y="88122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347290</xdr:colOff>
      <xdr:row>22</xdr:row>
      <xdr:rowOff>25400</xdr:rowOff>
    </xdr:from>
    <xdr:to>
      <xdr:col>11</xdr:col>
      <xdr:colOff>133271</xdr:colOff>
      <xdr:row>23</xdr:row>
      <xdr:rowOff>132802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67902186-E155-4946-9D3A-B7084BB8210B}"/>
            </a:ext>
          </a:extLst>
        </xdr:cNvPr>
        <xdr:cNvSpPr txBox="1"/>
      </xdr:nvSpPr>
      <xdr:spPr>
        <a:xfrm>
          <a:off x="8716590" y="4102100"/>
          <a:ext cx="547981" cy="291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342900</xdr:colOff>
      <xdr:row>23</xdr:row>
      <xdr:rowOff>175447</xdr:rowOff>
    </xdr:from>
    <xdr:to>
      <xdr:col>11</xdr:col>
      <xdr:colOff>525246</xdr:colOff>
      <xdr:row>25</xdr:row>
      <xdr:rowOff>112418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8DC654B4-429C-4DE4-BE50-F932974F68A8}"/>
            </a:ext>
          </a:extLst>
        </xdr:cNvPr>
        <xdr:cNvSpPr txBox="1"/>
      </xdr:nvSpPr>
      <xdr:spPr>
        <a:xfrm>
          <a:off x="8712200" y="44362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342900</xdr:colOff>
      <xdr:row>25</xdr:row>
      <xdr:rowOff>139386</xdr:rowOff>
    </xdr:from>
    <xdr:to>
      <xdr:col>11</xdr:col>
      <xdr:colOff>446851</xdr:colOff>
      <xdr:row>27</xdr:row>
      <xdr:rowOff>92036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8BE5F164-A367-45A6-AA3F-06DA93926F23}"/>
            </a:ext>
          </a:extLst>
        </xdr:cNvPr>
        <xdr:cNvSpPr txBox="1"/>
      </xdr:nvSpPr>
      <xdr:spPr>
        <a:xfrm>
          <a:off x="8712200" y="47685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1333500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2FE72DD3-6BDC-44F3-A59D-76C27072F416}"/>
            </a:ext>
          </a:extLst>
        </xdr:cNvPr>
        <xdr:cNvSpPr/>
      </xdr:nvSpPr>
      <xdr:spPr>
        <a:xfrm>
          <a:off x="812004" y="2590292"/>
          <a:ext cx="20454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Phellys K.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781C7C41-84C8-4150-8913-38770A006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243126A3-1DFC-4450-8A47-440AD4BD178E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012A3D36-730F-4D74-A9A7-C58B76BAF949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F9957895-B578-449C-8156-19AF18DA9DA0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0A4FEB1F-1B8B-44D1-B9C9-F4A239B60103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CB259510-BA6F-471A-A425-32442BC956B4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524F061D-F480-47CF-BD82-EF6EC073EFF4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EF1E790B-A17B-49ED-A88B-3666021FBD02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C76CDCBD-73A3-463B-A762-A64A6F5A3638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DCF26C3A-8B51-43EB-9410-26A2569FA02E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54C3CE67-C2C6-4C68-A913-286FD129AAD4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C0D1B621-08AC-4F08-9540-B85D17B50AC8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33%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BD3299EF-74A5-40AF-A620-DFC266091CA8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57D52445-BE3A-4C8E-84CC-ADC58EC0E581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E74EFAE3-9C75-46FC-95D8-BFD6D6DB0886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7E63DA1F-551B-43DE-BA4C-06CAD7355E89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034BE0F8-BF9E-4AE3-8F57-701E71BA5E26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C546BF63-5445-42D6-BAAA-F7BCEC3D4B96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29ECBF7D-58DF-451C-B866-B64F4D12F1D5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1BA8360F-B3A1-4DBF-88C9-4EC8746986FC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45C7C796-CE48-45DA-AF9E-D047513A81EA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5BFCDE98-6ECB-4819-B7C3-F250B1FCABD7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37,5%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96A16980-200C-4857-A560-3D0F698A6A82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9D15CD25-6AC9-4C2C-A035-29641461C804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50E83A5C-BD71-4A21-9C2E-711A5F898063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5DA56051-7CB5-4DE9-AD6D-6697EE338ADC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995B06F6-5DFD-4E64-9553-6C62A8F47CF1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5A60628F-380B-4045-8D1B-107928D3B5E6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B9E3F0D4-5034-4807-8A4D-287856B0EB29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C1655D69-5338-40D5-9B9C-3DE50111C0CE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6959C1AD-096E-4A79-B676-29CDB18E3AB7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3A6FBB65-87FC-4BE7-8BA4-3C2E1729BED1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37,5%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5DE079B2-688D-49BE-83ED-966538EFDFDC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AED62994-DCC3-4958-A251-01B9DC55EF6E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CC0FF175-58EB-4F43-9F8B-EC58B5844100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0C3BBABF-A2CF-4ADF-9ADD-202E947937C1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6DD280D5-8B68-40CD-9145-F6DFE1F117F3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>
    <xdr:from>
      <xdr:col>8</xdr:col>
      <xdr:colOff>513080</xdr:colOff>
      <xdr:row>39</xdr:row>
      <xdr:rowOff>45720</xdr:rowOff>
    </xdr:from>
    <xdr:to>
      <xdr:col>8</xdr:col>
      <xdr:colOff>792480</xdr:colOff>
      <xdr:row>40</xdr:row>
      <xdr:rowOff>124460</xdr:rowOff>
    </xdr:to>
    <xdr:sp macro="" textlink="$R$4">
      <xdr:nvSpPr>
        <xdr:cNvPr id="40" name="Décagone 39">
          <a:extLst>
            <a:ext uri="{FF2B5EF4-FFF2-40B4-BE49-F238E27FC236}">
              <a16:creationId xmlns:a16="http://schemas.microsoft.com/office/drawing/2014/main" id="{C730DF87-E0FC-4EC5-8382-A2BB2F49FF03}"/>
            </a:ext>
          </a:extLst>
        </xdr:cNvPr>
        <xdr:cNvSpPr/>
      </xdr:nvSpPr>
      <xdr:spPr>
        <a:xfrm>
          <a:off x="7358380" y="7265670"/>
          <a:ext cx="2476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782320</xdr:colOff>
      <xdr:row>35</xdr:row>
      <xdr:rowOff>101600</xdr:rowOff>
    </xdr:from>
    <xdr:to>
      <xdr:col>8</xdr:col>
      <xdr:colOff>233680</xdr:colOff>
      <xdr:row>36</xdr:row>
      <xdr:rowOff>180340</xdr:rowOff>
    </xdr:to>
    <xdr:sp macro="" textlink="$R$5">
      <xdr:nvSpPr>
        <xdr:cNvPr id="41" name="Décagone 40">
          <a:extLst>
            <a:ext uri="{FF2B5EF4-FFF2-40B4-BE49-F238E27FC236}">
              <a16:creationId xmlns:a16="http://schemas.microsoft.com/office/drawing/2014/main" id="{23CC59FC-A4DC-4742-840C-1FF282AE6C72}"/>
            </a:ext>
          </a:extLst>
        </xdr:cNvPr>
        <xdr:cNvSpPr/>
      </xdr:nvSpPr>
      <xdr:spPr>
        <a:xfrm>
          <a:off x="6846570" y="6578600"/>
          <a:ext cx="2324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746760</xdr:colOff>
      <xdr:row>32</xdr:row>
      <xdr:rowOff>160020</xdr:rowOff>
    </xdr:from>
    <xdr:to>
      <xdr:col>7</xdr:col>
      <xdr:colOff>198120</xdr:colOff>
      <xdr:row>34</xdr:row>
      <xdr:rowOff>50800</xdr:rowOff>
    </xdr:to>
    <xdr:sp macro="" textlink="$R$6">
      <xdr:nvSpPr>
        <xdr:cNvPr id="42" name="Décagone 41">
          <a:extLst>
            <a:ext uri="{FF2B5EF4-FFF2-40B4-BE49-F238E27FC236}">
              <a16:creationId xmlns:a16="http://schemas.microsoft.com/office/drawing/2014/main" id="{1707129D-CDA1-4B36-AC74-4A0F5874F756}"/>
            </a:ext>
          </a:extLst>
        </xdr:cNvPr>
        <xdr:cNvSpPr/>
      </xdr:nvSpPr>
      <xdr:spPr>
        <a:xfrm>
          <a:off x="6068060" y="60782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25400</xdr:colOff>
      <xdr:row>31</xdr:row>
      <xdr:rowOff>182880</xdr:rowOff>
    </xdr:from>
    <xdr:to>
      <xdr:col>5</xdr:col>
      <xdr:colOff>304800</xdr:colOff>
      <xdr:row>33</xdr:row>
      <xdr:rowOff>73660</xdr:rowOff>
    </xdr:to>
    <xdr:sp macro="" textlink="$R$7">
      <xdr:nvSpPr>
        <xdr:cNvPr id="43" name="Décagone 42">
          <a:extLst>
            <a:ext uri="{FF2B5EF4-FFF2-40B4-BE49-F238E27FC236}">
              <a16:creationId xmlns:a16="http://schemas.microsoft.com/office/drawing/2014/main" id="{2ECD5FF6-C7A9-41C1-BAB4-A9C01BF1E29A}"/>
            </a:ext>
          </a:extLst>
        </xdr:cNvPr>
        <xdr:cNvSpPr/>
      </xdr:nvSpPr>
      <xdr:spPr>
        <a:xfrm>
          <a:off x="4584700" y="591693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43180</xdr:colOff>
      <xdr:row>32</xdr:row>
      <xdr:rowOff>185420</xdr:rowOff>
    </xdr:from>
    <xdr:to>
      <xdr:col>3</xdr:col>
      <xdr:colOff>322580</xdr:colOff>
      <xdr:row>34</xdr:row>
      <xdr:rowOff>76200</xdr:rowOff>
    </xdr:to>
    <xdr:sp macro="" textlink="$R$8">
      <xdr:nvSpPr>
        <xdr:cNvPr id="44" name="Décagone 43">
          <a:extLst>
            <a:ext uri="{FF2B5EF4-FFF2-40B4-BE49-F238E27FC236}">
              <a16:creationId xmlns:a16="http://schemas.microsoft.com/office/drawing/2014/main" id="{328A65B4-80A5-41AE-9530-B717337568D2}"/>
            </a:ext>
          </a:extLst>
        </xdr:cNvPr>
        <xdr:cNvSpPr/>
      </xdr:nvSpPr>
      <xdr:spPr>
        <a:xfrm>
          <a:off x="3078480" y="610362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825500</xdr:colOff>
      <xdr:row>35</xdr:row>
      <xdr:rowOff>101600</xdr:rowOff>
    </xdr:from>
    <xdr:to>
      <xdr:col>2</xdr:col>
      <xdr:colOff>1104900</xdr:colOff>
      <xdr:row>36</xdr:row>
      <xdr:rowOff>180340</xdr:rowOff>
    </xdr:to>
    <xdr:sp macro="" textlink="$R$9">
      <xdr:nvSpPr>
        <xdr:cNvPr id="45" name="Décagone 44">
          <a:extLst>
            <a:ext uri="{FF2B5EF4-FFF2-40B4-BE49-F238E27FC236}">
              <a16:creationId xmlns:a16="http://schemas.microsoft.com/office/drawing/2014/main" id="{6CDE77BA-91E1-430F-ACAD-75FEA97661F9}"/>
            </a:ext>
          </a:extLst>
        </xdr:cNvPr>
        <xdr:cNvSpPr/>
      </xdr:nvSpPr>
      <xdr:spPr>
        <a:xfrm>
          <a:off x="2349500" y="65786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330200</xdr:colOff>
      <xdr:row>39</xdr:row>
      <xdr:rowOff>45720</xdr:rowOff>
    </xdr:from>
    <xdr:to>
      <xdr:col>2</xdr:col>
      <xdr:colOff>609600</xdr:colOff>
      <xdr:row>40</xdr:row>
      <xdr:rowOff>124460</xdr:rowOff>
    </xdr:to>
    <xdr:sp macro="" textlink="$R$10">
      <xdr:nvSpPr>
        <xdr:cNvPr id="46" name="Décagone 45">
          <a:extLst>
            <a:ext uri="{FF2B5EF4-FFF2-40B4-BE49-F238E27FC236}">
              <a16:creationId xmlns:a16="http://schemas.microsoft.com/office/drawing/2014/main" id="{03449FF4-5BC7-4CE2-8A2D-1A026FDD4E73}"/>
            </a:ext>
          </a:extLst>
        </xdr:cNvPr>
        <xdr:cNvSpPr/>
      </xdr:nvSpPr>
      <xdr:spPr>
        <a:xfrm>
          <a:off x="1854200" y="72656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1460500</xdr:colOff>
      <xdr:row>29</xdr:row>
      <xdr:rowOff>127000</xdr:rowOff>
    </xdr:from>
    <xdr:to>
      <xdr:col>3</xdr:col>
      <xdr:colOff>93980</xdr:colOff>
      <xdr:row>31</xdr:row>
      <xdr:rowOff>15240</xdr:rowOff>
    </xdr:to>
    <xdr:sp macro="" textlink="$R$13">
      <xdr:nvSpPr>
        <xdr:cNvPr id="47" name="Décagone 46">
          <a:extLst>
            <a:ext uri="{FF2B5EF4-FFF2-40B4-BE49-F238E27FC236}">
              <a16:creationId xmlns:a16="http://schemas.microsoft.com/office/drawing/2014/main" id="{3FD69971-84BB-4D64-BB0C-25312AA0ED7D}"/>
            </a:ext>
          </a:extLst>
        </xdr:cNvPr>
        <xdr:cNvSpPr/>
      </xdr:nvSpPr>
      <xdr:spPr>
        <a:xfrm>
          <a:off x="2984500" y="5492750"/>
          <a:ext cx="14478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1155700</xdr:colOff>
      <xdr:row>26</xdr:row>
      <xdr:rowOff>30480</xdr:rowOff>
    </xdr:from>
    <xdr:to>
      <xdr:col>2</xdr:col>
      <xdr:colOff>1435100</xdr:colOff>
      <xdr:row>27</xdr:row>
      <xdr:rowOff>109220</xdr:rowOff>
    </xdr:to>
    <xdr:sp macro="" textlink="$R$16">
      <xdr:nvSpPr>
        <xdr:cNvPr id="48" name="Décagone 47">
          <a:extLst>
            <a:ext uri="{FF2B5EF4-FFF2-40B4-BE49-F238E27FC236}">
              <a16:creationId xmlns:a16="http://schemas.microsoft.com/office/drawing/2014/main" id="{8B56E980-D83F-4E78-A0FB-4A951255BAFD}"/>
            </a:ext>
          </a:extLst>
        </xdr:cNvPr>
        <xdr:cNvSpPr/>
      </xdr:nvSpPr>
      <xdr:spPr>
        <a:xfrm>
          <a:off x="2679700" y="48437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38100</xdr:colOff>
      <xdr:row>24</xdr:row>
      <xdr:rowOff>152400</xdr:rowOff>
    </xdr:from>
    <xdr:to>
      <xdr:col>5</xdr:col>
      <xdr:colOff>317500</xdr:colOff>
      <xdr:row>26</xdr:row>
      <xdr:rowOff>43180</xdr:rowOff>
    </xdr:to>
    <xdr:sp macro="" textlink="$R$15">
      <xdr:nvSpPr>
        <xdr:cNvPr id="49" name="Décagone 48">
          <a:extLst>
            <a:ext uri="{FF2B5EF4-FFF2-40B4-BE49-F238E27FC236}">
              <a16:creationId xmlns:a16="http://schemas.microsoft.com/office/drawing/2014/main" id="{2BB2F991-A690-4591-AC2C-9B3342B53312}"/>
            </a:ext>
          </a:extLst>
        </xdr:cNvPr>
        <xdr:cNvSpPr/>
      </xdr:nvSpPr>
      <xdr:spPr>
        <a:xfrm>
          <a:off x="4597400" y="45974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553720</xdr:colOff>
      <xdr:row>26</xdr:row>
      <xdr:rowOff>81280</xdr:rowOff>
    </xdr:from>
    <xdr:to>
      <xdr:col>8</xdr:col>
      <xdr:colOff>5080</xdr:colOff>
      <xdr:row>27</xdr:row>
      <xdr:rowOff>160020</xdr:rowOff>
    </xdr:to>
    <xdr:sp macro="" textlink="$R$14">
      <xdr:nvSpPr>
        <xdr:cNvPr id="50" name="Décagone 49">
          <a:extLst>
            <a:ext uri="{FF2B5EF4-FFF2-40B4-BE49-F238E27FC236}">
              <a16:creationId xmlns:a16="http://schemas.microsoft.com/office/drawing/2014/main" id="{74A92E29-F26C-468E-81CB-F52F7A14E213}"/>
            </a:ext>
          </a:extLst>
        </xdr:cNvPr>
        <xdr:cNvSpPr/>
      </xdr:nvSpPr>
      <xdr:spPr>
        <a:xfrm>
          <a:off x="6637020" y="4894580"/>
          <a:ext cx="21336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261620</xdr:colOff>
      <xdr:row>29</xdr:row>
      <xdr:rowOff>101600</xdr:rowOff>
    </xdr:from>
    <xdr:to>
      <xdr:col>7</xdr:col>
      <xdr:colOff>541020</xdr:colOff>
      <xdr:row>30</xdr:row>
      <xdr:rowOff>180340</xdr:rowOff>
    </xdr:to>
    <xdr:sp macro="" textlink="$R$12">
      <xdr:nvSpPr>
        <xdr:cNvPr id="51" name="Décagone 50">
          <a:extLst>
            <a:ext uri="{FF2B5EF4-FFF2-40B4-BE49-F238E27FC236}">
              <a16:creationId xmlns:a16="http://schemas.microsoft.com/office/drawing/2014/main" id="{0CD2E0E1-24B4-4FC0-BBA2-EFE7A66720CF}"/>
            </a:ext>
          </a:extLst>
        </xdr:cNvPr>
        <xdr:cNvSpPr/>
      </xdr:nvSpPr>
      <xdr:spPr>
        <a:xfrm>
          <a:off x="6344920" y="546735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0</xdr:colOff>
      <xdr:row>28</xdr:row>
      <xdr:rowOff>60960</xdr:rowOff>
    </xdr:from>
    <xdr:to>
      <xdr:col>5</xdr:col>
      <xdr:colOff>279400</xdr:colOff>
      <xdr:row>29</xdr:row>
      <xdr:rowOff>139700</xdr:rowOff>
    </xdr:to>
    <xdr:sp macro="" textlink="$R$11">
      <xdr:nvSpPr>
        <xdr:cNvPr id="52" name="Décagone 51">
          <a:extLst>
            <a:ext uri="{FF2B5EF4-FFF2-40B4-BE49-F238E27FC236}">
              <a16:creationId xmlns:a16="http://schemas.microsoft.com/office/drawing/2014/main" id="{51A639B7-FEA7-4720-8FD2-8A7863D98F31}"/>
            </a:ext>
          </a:extLst>
        </xdr:cNvPr>
        <xdr:cNvSpPr/>
      </xdr:nvSpPr>
      <xdr:spPr>
        <a:xfrm>
          <a:off x="4559300" y="524256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746760</xdr:colOff>
      <xdr:row>25</xdr:row>
      <xdr:rowOff>114300</xdr:rowOff>
    </xdr:from>
    <xdr:to>
      <xdr:col>10</xdr:col>
      <xdr:colOff>200660</xdr:colOff>
      <xdr:row>27</xdr:row>
      <xdr:rowOff>2540</xdr:rowOff>
    </xdr:to>
    <xdr:sp macro="" textlink="">
      <xdr:nvSpPr>
        <xdr:cNvPr id="53" name="Décagone 52">
          <a:extLst>
            <a:ext uri="{FF2B5EF4-FFF2-40B4-BE49-F238E27FC236}">
              <a16:creationId xmlns:a16="http://schemas.microsoft.com/office/drawing/2014/main" id="{DBE19C82-8042-4086-8C25-FA06FBC8781E}"/>
            </a:ext>
          </a:extLst>
        </xdr:cNvPr>
        <xdr:cNvSpPr/>
      </xdr:nvSpPr>
      <xdr:spPr>
        <a:xfrm>
          <a:off x="8354060" y="4743450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685800</xdr:colOff>
      <xdr:row>21</xdr:row>
      <xdr:rowOff>177800</xdr:rowOff>
    </xdr:from>
    <xdr:to>
      <xdr:col>10</xdr:col>
      <xdr:colOff>293661</xdr:colOff>
      <xdr:row>23</xdr:row>
      <xdr:rowOff>95391</xdr:rowOff>
    </xdr:to>
    <xdr:sp macro="" textlink="">
      <xdr:nvSpPr>
        <xdr:cNvPr id="54" name="ZoneTexte 53">
          <a:extLst>
            <a:ext uri="{FF2B5EF4-FFF2-40B4-BE49-F238E27FC236}">
              <a16:creationId xmlns:a16="http://schemas.microsoft.com/office/drawing/2014/main" id="{8B9D999D-B38F-46C4-AC4F-766DF7F7BC69}"/>
            </a:ext>
          </a:extLst>
        </xdr:cNvPr>
        <xdr:cNvSpPr txBox="1"/>
      </xdr:nvSpPr>
      <xdr:spPr>
        <a:xfrm>
          <a:off x="8293100" y="40640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695623</xdr:colOff>
      <xdr:row>23</xdr:row>
      <xdr:rowOff>154340</xdr:rowOff>
    </xdr:from>
    <xdr:to>
      <xdr:col>10</xdr:col>
      <xdr:colOff>331761</xdr:colOff>
      <xdr:row>25</xdr:row>
      <xdr:rowOff>24271</xdr:rowOff>
    </xdr:to>
    <xdr:sp macro="" textlink="$R$56">
      <xdr:nvSpPr>
        <xdr:cNvPr id="55" name="ZoneTexte 54">
          <a:extLst>
            <a:ext uri="{FF2B5EF4-FFF2-40B4-BE49-F238E27FC236}">
              <a16:creationId xmlns:a16="http://schemas.microsoft.com/office/drawing/2014/main" id="{279A9EB1-39F4-4286-9CC7-D7B793E501B0}"/>
            </a:ext>
          </a:extLst>
        </xdr:cNvPr>
        <xdr:cNvSpPr txBox="1"/>
      </xdr:nvSpPr>
      <xdr:spPr>
        <a:xfrm>
          <a:off x="8302923" y="44151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8993</xdr:colOff>
      <xdr:row>47</xdr:row>
      <xdr:rowOff>87356</xdr:rowOff>
    </xdr:from>
    <xdr:to>
      <xdr:col>7</xdr:col>
      <xdr:colOff>288393</xdr:colOff>
      <xdr:row>48</xdr:row>
      <xdr:rowOff>166096</xdr:rowOff>
    </xdr:to>
    <xdr:sp macro="" textlink="$R$18">
      <xdr:nvSpPr>
        <xdr:cNvPr id="56" name="Décagone 55">
          <a:extLst>
            <a:ext uri="{FF2B5EF4-FFF2-40B4-BE49-F238E27FC236}">
              <a16:creationId xmlns:a16="http://schemas.microsoft.com/office/drawing/2014/main" id="{32974A1D-2366-42BA-8398-AF3E5AC83459}"/>
            </a:ext>
          </a:extLst>
        </xdr:cNvPr>
        <xdr:cNvSpPr/>
      </xdr:nvSpPr>
      <xdr:spPr>
        <a:xfrm>
          <a:off x="6092293" y="8799556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740513</xdr:colOff>
      <xdr:row>47</xdr:row>
      <xdr:rowOff>87356</xdr:rowOff>
    </xdr:from>
    <xdr:to>
      <xdr:col>4</xdr:col>
      <xdr:colOff>194413</xdr:colOff>
      <xdr:row>48</xdr:row>
      <xdr:rowOff>166096</xdr:rowOff>
    </xdr:to>
    <xdr:sp macro="" textlink="$R$17">
      <xdr:nvSpPr>
        <xdr:cNvPr id="57" name="Décagone 56">
          <a:extLst>
            <a:ext uri="{FF2B5EF4-FFF2-40B4-BE49-F238E27FC236}">
              <a16:creationId xmlns:a16="http://schemas.microsoft.com/office/drawing/2014/main" id="{CE7C2B98-3AE3-409A-88A5-F9342542B3A4}"/>
            </a:ext>
          </a:extLst>
        </xdr:cNvPr>
        <xdr:cNvSpPr/>
      </xdr:nvSpPr>
      <xdr:spPr>
        <a:xfrm>
          <a:off x="3775813" y="87995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347290</xdr:colOff>
      <xdr:row>22</xdr:row>
      <xdr:rowOff>12700</xdr:rowOff>
    </xdr:from>
    <xdr:to>
      <xdr:col>11</xdr:col>
      <xdr:colOff>133271</xdr:colOff>
      <xdr:row>23</xdr:row>
      <xdr:rowOff>120102</xdr:rowOff>
    </xdr:to>
    <xdr:sp macro="" textlink="">
      <xdr:nvSpPr>
        <xdr:cNvPr id="58" name="ZoneTexte 57">
          <a:extLst>
            <a:ext uri="{FF2B5EF4-FFF2-40B4-BE49-F238E27FC236}">
              <a16:creationId xmlns:a16="http://schemas.microsoft.com/office/drawing/2014/main" id="{B91046CA-AC12-47F4-9085-914A1E5BE5C1}"/>
            </a:ext>
          </a:extLst>
        </xdr:cNvPr>
        <xdr:cNvSpPr txBox="1"/>
      </xdr:nvSpPr>
      <xdr:spPr>
        <a:xfrm>
          <a:off x="8716590" y="4089400"/>
          <a:ext cx="547981" cy="291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342900</xdr:colOff>
      <xdr:row>23</xdr:row>
      <xdr:rowOff>162747</xdr:rowOff>
    </xdr:from>
    <xdr:to>
      <xdr:col>11</xdr:col>
      <xdr:colOff>525246</xdr:colOff>
      <xdr:row>25</xdr:row>
      <xdr:rowOff>99718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7F811EBB-E77C-4CEC-9FA1-A90FBD224BA9}"/>
            </a:ext>
          </a:extLst>
        </xdr:cNvPr>
        <xdr:cNvSpPr txBox="1"/>
      </xdr:nvSpPr>
      <xdr:spPr>
        <a:xfrm>
          <a:off x="8712200" y="44235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342900</xdr:colOff>
      <xdr:row>25</xdr:row>
      <xdr:rowOff>126686</xdr:rowOff>
    </xdr:from>
    <xdr:to>
      <xdr:col>11</xdr:col>
      <xdr:colOff>446851</xdr:colOff>
      <xdr:row>27</xdr:row>
      <xdr:rowOff>79336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8DE8C466-D252-4076-9392-E3720A9FE321}"/>
            </a:ext>
          </a:extLst>
        </xdr:cNvPr>
        <xdr:cNvSpPr txBox="1"/>
      </xdr:nvSpPr>
      <xdr:spPr>
        <a:xfrm>
          <a:off x="8712200" y="47558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1333500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BFB107D4-AA09-4B08-8854-D3A3BD7B9F77}"/>
            </a:ext>
          </a:extLst>
        </xdr:cNvPr>
        <xdr:cNvSpPr/>
      </xdr:nvSpPr>
      <xdr:spPr>
        <a:xfrm>
          <a:off x="812004" y="2590292"/>
          <a:ext cx="20454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Kimberley R.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AFDD53EC-3630-4A27-B504-760BA6B62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A2C0B4E2-7764-4E54-8C3E-1A7FDC458EF2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FE7A06E4-8FFC-488A-8112-FDEAC0CFBEA4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F5362FD7-D526-4135-B036-5BF56BF6D9AE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2042524D-1A3D-4ADF-A3F7-D59E8C1F9B5B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47249ABC-5F82-4B7B-8066-67F52750D05A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69F1F1AF-95E1-46B4-9438-A15DB72BA7E6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B41C0E00-D033-4595-9C68-C92C9C626BBE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3EEF5549-E50F-4AF7-B468-0C2A3E9A33EF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51B3998A-7EAB-4086-BC73-767C5AB2DDEB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70BC8CA3-36CF-45E2-A69C-D23174A6CA30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9A5DB5C1-1BC5-4057-B775-018B776FD94C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38E0CAD4-A8C6-469A-BCE2-88955D697335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BCBA998D-5B4D-47CF-BD91-EE148B78B98F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BFCC00C8-F3CC-4B88-97B7-072A65EC90F3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EC957CB0-F82B-4FA8-B00A-5A88CE399BC2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06C6C56C-B435-4744-A674-3B2C0A0E24A5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62A42C7E-40F3-404F-9879-7A9E322B47E6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500CE45D-8823-4227-88A4-BCB532BA8807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35C32285-B923-41EE-BB3D-BBEA3B825664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4A63AC24-EA41-4D80-ACA6-DA72AC6DFA54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56C2F1FF-AE14-48EF-BEE3-23F5497F09DB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F6AA0627-2FAB-4572-B1CD-D25A1377D7C5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2AE35199-6764-4DBE-AB6D-388C666BCB2D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01DEF051-04A5-45A7-99CA-724DD7672AD0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8764C8EB-31A1-4921-9FEA-F8D86D044122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25,0%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0E2B5D3B-ACF0-480B-AE4D-DE527797FBC4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BC643A76-974C-46C3-8ADC-F411296008F4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D8016F22-DF6A-4C9C-AF2B-942540BD7708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50,0%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1629AE0A-C5A7-45C7-819B-679BFEA02AA0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B1B24174-4C36-4F93-8BF3-9581A29836AC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B7F61CD8-204E-4284-9FB8-B817F8E1C7F0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19AB0416-9779-4D18-BF93-E7FB9343099B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6DAC85F9-9AD1-4AFF-906F-7C1516F66872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28C93CD9-61B8-42D6-BF7F-6781211E1BF9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7CDB85BA-778E-44F9-ABCB-068DC690D52C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16FB5BE3-6CE8-4C2F-AA04-A1F9C683CAEB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38100</xdr:colOff>
      <xdr:row>0</xdr:row>
      <xdr:rowOff>165100</xdr:rowOff>
    </xdr:from>
    <xdr:to>
      <xdr:col>2</xdr:col>
      <xdr:colOff>1333500</xdr:colOff>
      <xdr:row>13</xdr:row>
      <xdr:rowOff>40545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A61AB2BE-049D-4892-865E-47D3ED495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0100" y="165100"/>
          <a:ext cx="2057400" cy="2275745"/>
        </a:xfrm>
        <a:prstGeom prst="rect">
          <a:avLst/>
        </a:prstGeom>
      </xdr:spPr>
    </xdr:pic>
    <xdr:clientData/>
  </xdr:twoCellAnchor>
  <xdr:twoCellAnchor>
    <xdr:from>
      <xdr:col>8</xdr:col>
      <xdr:colOff>487680</xdr:colOff>
      <xdr:row>39</xdr:row>
      <xdr:rowOff>45720</xdr:rowOff>
    </xdr:from>
    <xdr:to>
      <xdr:col>8</xdr:col>
      <xdr:colOff>767080</xdr:colOff>
      <xdr:row>40</xdr:row>
      <xdr:rowOff>124460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B2144368-B59B-4160-8A62-E88989D375A7}"/>
            </a:ext>
          </a:extLst>
        </xdr:cNvPr>
        <xdr:cNvSpPr/>
      </xdr:nvSpPr>
      <xdr:spPr>
        <a:xfrm>
          <a:off x="7332980" y="7265670"/>
          <a:ext cx="2730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756920</xdr:colOff>
      <xdr:row>35</xdr:row>
      <xdr:rowOff>101600</xdr:rowOff>
    </xdr:from>
    <xdr:to>
      <xdr:col>8</xdr:col>
      <xdr:colOff>208280</xdr:colOff>
      <xdr:row>36</xdr:row>
      <xdr:rowOff>180340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351ACC16-7F03-472E-8C7F-5C9CD1CFA2ED}"/>
            </a:ext>
          </a:extLst>
        </xdr:cNvPr>
        <xdr:cNvSpPr/>
      </xdr:nvSpPr>
      <xdr:spPr>
        <a:xfrm>
          <a:off x="6840220" y="6578600"/>
          <a:ext cx="21336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721360</xdr:colOff>
      <xdr:row>32</xdr:row>
      <xdr:rowOff>160020</xdr:rowOff>
    </xdr:from>
    <xdr:to>
      <xdr:col>7</xdr:col>
      <xdr:colOff>172720</xdr:colOff>
      <xdr:row>34</xdr:row>
      <xdr:rowOff>50800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6C61B613-E81F-4352-869F-BDBEECA99D4F}"/>
            </a:ext>
          </a:extLst>
        </xdr:cNvPr>
        <xdr:cNvSpPr/>
      </xdr:nvSpPr>
      <xdr:spPr>
        <a:xfrm>
          <a:off x="6042660" y="60782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0</xdr:colOff>
      <xdr:row>31</xdr:row>
      <xdr:rowOff>182880</xdr:rowOff>
    </xdr:from>
    <xdr:to>
      <xdr:col>5</xdr:col>
      <xdr:colOff>279400</xdr:colOff>
      <xdr:row>33</xdr:row>
      <xdr:rowOff>73660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F8DE2AC4-0BB1-461F-AF14-99C63F2C4574}"/>
            </a:ext>
          </a:extLst>
        </xdr:cNvPr>
        <xdr:cNvSpPr/>
      </xdr:nvSpPr>
      <xdr:spPr>
        <a:xfrm>
          <a:off x="4559300" y="591693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17780</xdr:colOff>
      <xdr:row>32</xdr:row>
      <xdr:rowOff>185420</xdr:rowOff>
    </xdr:from>
    <xdr:to>
      <xdr:col>3</xdr:col>
      <xdr:colOff>297180</xdr:colOff>
      <xdr:row>34</xdr:row>
      <xdr:rowOff>76200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702E25B9-273C-4BAF-B083-7E4888F28A45}"/>
            </a:ext>
          </a:extLst>
        </xdr:cNvPr>
        <xdr:cNvSpPr/>
      </xdr:nvSpPr>
      <xdr:spPr>
        <a:xfrm>
          <a:off x="3053080" y="610362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800100</xdr:colOff>
      <xdr:row>35</xdr:row>
      <xdr:rowOff>101600</xdr:rowOff>
    </xdr:from>
    <xdr:to>
      <xdr:col>2</xdr:col>
      <xdr:colOff>1079500</xdr:colOff>
      <xdr:row>36</xdr:row>
      <xdr:rowOff>180340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EA3ACC73-1949-4155-8CFE-729B9BC71DB4}"/>
            </a:ext>
          </a:extLst>
        </xdr:cNvPr>
        <xdr:cNvSpPr/>
      </xdr:nvSpPr>
      <xdr:spPr>
        <a:xfrm>
          <a:off x="2324100" y="65786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304800</xdr:colOff>
      <xdr:row>39</xdr:row>
      <xdr:rowOff>45720</xdr:rowOff>
    </xdr:from>
    <xdr:to>
      <xdr:col>2</xdr:col>
      <xdr:colOff>584200</xdr:colOff>
      <xdr:row>40</xdr:row>
      <xdr:rowOff>124460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E5582E86-0F9C-4FAE-95CE-083AA976AEBE}"/>
            </a:ext>
          </a:extLst>
        </xdr:cNvPr>
        <xdr:cNvSpPr/>
      </xdr:nvSpPr>
      <xdr:spPr>
        <a:xfrm>
          <a:off x="1828800" y="72656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1435100</xdr:colOff>
      <xdr:row>29</xdr:row>
      <xdr:rowOff>127000</xdr:rowOff>
    </xdr:from>
    <xdr:to>
      <xdr:col>3</xdr:col>
      <xdr:colOff>68580</xdr:colOff>
      <xdr:row>31</xdr:row>
      <xdr:rowOff>15240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79E25415-2451-4347-A64F-532C99D10AD9}"/>
            </a:ext>
          </a:extLst>
        </xdr:cNvPr>
        <xdr:cNvSpPr/>
      </xdr:nvSpPr>
      <xdr:spPr>
        <a:xfrm>
          <a:off x="2959100" y="5492750"/>
          <a:ext cx="14478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1130300</xdr:colOff>
      <xdr:row>26</xdr:row>
      <xdr:rowOff>30480</xdr:rowOff>
    </xdr:from>
    <xdr:to>
      <xdr:col>2</xdr:col>
      <xdr:colOff>1409700</xdr:colOff>
      <xdr:row>27</xdr:row>
      <xdr:rowOff>109220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D9071ED3-9FAB-4030-A7DE-3DABEFA7122C}"/>
            </a:ext>
          </a:extLst>
        </xdr:cNvPr>
        <xdr:cNvSpPr/>
      </xdr:nvSpPr>
      <xdr:spPr>
        <a:xfrm>
          <a:off x="2654300" y="48437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24</xdr:row>
      <xdr:rowOff>152400</xdr:rowOff>
    </xdr:from>
    <xdr:to>
      <xdr:col>5</xdr:col>
      <xdr:colOff>292100</xdr:colOff>
      <xdr:row>26</xdr:row>
      <xdr:rowOff>43180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BB01274D-1164-48D2-99E0-DA07911A892D}"/>
            </a:ext>
          </a:extLst>
        </xdr:cNvPr>
        <xdr:cNvSpPr/>
      </xdr:nvSpPr>
      <xdr:spPr>
        <a:xfrm>
          <a:off x="4572000" y="45974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528320</xdr:colOff>
      <xdr:row>26</xdr:row>
      <xdr:rowOff>81280</xdr:rowOff>
    </xdr:from>
    <xdr:to>
      <xdr:col>7</xdr:col>
      <xdr:colOff>805180</xdr:colOff>
      <xdr:row>27</xdr:row>
      <xdr:rowOff>160020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8CD30B08-41C0-4917-A194-ACBCB50281D7}"/>
            </a:ext>
          </a:extLst>
        </xdr:cNvPr>
        <xdr:cNvSpPr/>
      </xdr:nvSpPr>
      <xdr:spPr>
        <a:xfrm>
          <a:off x="6611620" y="4894580"/>
          <a:ext cx="2324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236220</xdr:colOff>
      <xdr:row>29</xdr:row>
      <xdr:rowOff>101600</xdr:rowOff>
    </xdr:from>
    <xdr:to>
      <xdr:col>7</xdr:col>
      <xdr:colOff>515620</xdr:colOff>
      <xdr:row>30</xdr:row>
      <xdr:rowOff>180340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6852CFF7-3893-48B9-A694-81521729E2D3}"/>
            </a:ext>
          </a:extLst>
        </xdr:cNvPr>
        <xdr:cNvSpPr/>
      </xdr:nvSpPr>
      <xdr:spPr>
        <a:xfrm>
          <a:off x="6319520" y="546735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800100</xdr:colOff>
      <xdr:row>28</xdr:row>
      <xdr:rowOff>60960</xdr:rowOff>
    </xdr:from>
    <xdr:to>
      <xdr:col>5</xdr:col>
      <xdr:colOff>254000</xdr:colOff>
      <xdr:row>29</xdr:row>
      <xdr:rowOff>139700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56FE0139-E9CC-403E-9CD9-22719C54DE94}"/>
            </a:ext>
          </a:extLst>
        </xdr:cNvPr>
        <xdr:cNvSpPr/>
      </xdr:nvSpPr>
      <xdr:spPr>
        <a:xfrm>
          <a:off x="4559300" y="5242560"/>
          <a:ext cx="2540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721360</xdr:colOff>
      <xdr:row>25</xdr:row>
      <xdr:rowOff>114300</xdr:rowOff>
    </xdr:from>
    <xdr:to>
      <xdr:col>10</xdr:col>
      <xdr:colOff>175260</xdr:colOff>
      <xdr:row>27</xdr:row>
      <xdr:rowOff>2540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2AE5FDA9-1E33-4185-B1A3-0270BA5D5339}"/>
            </a:ext>
          </a:extLst>
        </xdr:cNvPr>
        <xdr:cNvSpPr/>
      </xdr:nvSpPr>
      <xdr:spPr>
        <a:xfrm>
          <a:off x="8328660" y="4743450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660400</xdr:colOff>
      <xdr:row>21</xdr:row>
      <xdr:rowOff>177800</xdr:rowOff>
    </xdr:from>
    <xdr:to>
      <xdr:col>10</xdr:col>
      <xdr:colOff>268261</xdr:colOff>
      <xdr:row>23</xdr:row>
      <xdr:rowOff>95391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EDF2E79D-F4B9-4459-9AEA-3E331D37B678}"/>
            </a:ext>
          </a:extLst>
        </xdr:cNvPr>
        <xdr:cNvSpPr txBox="1"/>
      </xdr:nvSpPr>
      <xdr:spPr>
        <a:xfrm>
          <a:off x="8267700" y="40640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670223</xdr:colOff>
      <xdr:row>23</xdr:row>
      <xdr:rowOff>154340</xdr:rowOff>
    </xdr:from>
    <xdr:to>
      <xdr:col>10</xdr:col>
      <xdr:colOff>306361</xdr:colOff>
      <xdr:row>25</xdr:row>
      <xdr:rowOff>24271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10742D23-C3A9-4548-AF49-529DE608176E}"/>
            </a:ext>
          </a:extLst>
        </xdr:cNvPr>
        <xdr:cNvSpPr txBox="1"/>
      </xdr:nvSpPr>
      <xdr:spPr>
        <a:xfrm>
          <a:off x="8277523" y="44151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809093</xdr:colOff>
      <xdr:row>47</xdr:row>
      <xdr:rowOff>87356</xdr:rowOff>
    </xdr:from>
    <xdr:to>
      <xdr:col>7</xdr:col>
      <xdr:colOff>262993</xdr:colOff>
      <xdr:row>48</xdr:row>
      <xdr:rowOff>166096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850743FC-CB60-482B-A650-F4DA9BCBAB3E}"/>
            </a:ext>
          </a:extLst>
        </xdr:cNvPr>
        <xdr:cNvSpPr/>
      </xdr:nvSpPr>
      <xdr:spPr>
        <a:xfrm>
          <a:off x="6085943" y="8799556"/>
          <a:ext cx="2603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715113</xdr:colOff>
      <xdr:row>47</xdr:row>
      <xdr:rowOff>87356</xdr:rowOff>
    </xdr:from>
    <xdr:to>
      <xdr:col>4</xdr:col>
      <xdr:colOff>169013</xdr:colOff>
      <xdr:row>48</xdr:row>
      <xdr:rowOff>166096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7B54DE14-444D-4ADF-BCB2-3C2D5409DEA9}"/>
            </a:ext>
          </a:extLst>
        </xdr:cNvPr>
        <xdr:cNvSpPr/>
      </xdr:nvSpPr>
      <xdr:spPr>
        <a:xfrm>
          <a:off x="3750413" y="87995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330200</xdr:colOff>
      <xdr:row>22</xdr:row>
      <xdr:rowOff>0</xdr:rowOff>
    </xdr:from>
    <xdr:to>
      <xdr:col>11</xdr:col>
      <xdr:colOff>120571</xdr:colOff>
      <xdr:row>23</xdr:row>
      <xdr:rowOff>107402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F2D8840F-9CCB-4B15-A352-6A958009E09B}"/>
            </a:ext>
          </a:extLst>
        </xdr:cNvPr>
        <xdr:cNvSpPr txBox="1"/>
      </xdr:nvSpPr>
      <xdr:spPr>
        <a:xfrm>
          <a:off x="8699500" y="4076700"/>
          <a:ext cx="552371" cy="291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330200</xdr:colOff>
      <xdr:row>23</xdr:row>
      <xdr:rowOff>150047</xdr:rowOff>
    </xdr:from>
    <xdr:to>
      <xdr:col>11</xdr:col>
      <xdr:colOff>512546</xdr:colOff>
      <xdr:row>25</xdr:row>
      <xdr:rowOff>87018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665DE9BC-4840-4F87-9AD1-263E797AA636}"/>
            </a:ext>
          </a:extLst>
        </xdr:cNvPr>
        <xdr:cNvSpPr txBox="1"/>
      </xdr:nvSpPr>
      <xdr:spPr>
        <a:xfrm>
          <a:off x="8699500" y="44108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330200</xdr:colOff>
      <xdr:row>25</xdr:row>
      <xdr:rowOff>113986</xdr:rowOff>
    </xdr:from>
    <xdr:to>
      <xdr:col>11</xdr:col>
      <xdr:colOff>434151</xdr:colOff>
      <xdr:row>27</xdr:row>
      <xdr:rowOff>66636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331C98AB-40C0-45D0-8C9E-4A979FF59943}"/>
            </a:ext>
          </a:extLst>
        </xdr:cNvPr>
        <xdr:cNvSpPr txBox="1"/>
      </xdr:nvSpPr>
      <xdr:spPr>
        <a:xfrm>
          <a:off x="8699500" y="47431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1257300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2E184EE-C8A7-400C-BC7F-9B357914C8A6}"/>
            </a:ext>
          </a:extLst>
        </xdr:cNvPr>
        <xdr:cNvSpPr/>
      </xdr:nvSpPr>
      <xdr:spPr>
        <a:xfrm>
          <a:off x="812004" y="2590292"/>
          <a:ext cx="19692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Syriane A.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A2CDFB6-92DD-485A-87D7-C89C01F04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54E8764E-FC99-4723-8AE1-A3A9089C7763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F36B4023-D2C8-4D4F-A6FE-8988AC74C6D1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EF3CFBCE-927F-499D-803C-ADC34B708C8E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0F936607-0185-4EC4-A53C-D196305B0267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BBEB3758-6A70-4594-A6EB-A67FAC58FF7C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7BADFF5D-D3BB-4618-A7C0-412557414AA4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8777C6BF-9F10-4A77-9389-AA535ABD2818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E60C040A-C14D-4864-BB88-756457B418A6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12DF9105-53B9-4003-A024-745406BD7665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6669B6F6-A4DA-43F4-8F48-093DBCC1B516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46D3018F-FA15-478D-A6DA-1E681F62B4A5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0B5F637C-99DC-4CB7-9341-D9AD58D6459D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17FDDECE-C37D-4AA4-B1BC-448B4902E5E3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33%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CA54C93D-B91D-4788-B3AB-D3412EA8116C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A57FF1E2-EF79-491E-B064-420A9958CEB6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EAF704FE-39CA-40F3-B05C-843DC6F7F16A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6E8AA7B4-20AE-4DB8-803E-37E573D53C52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C2215A8F-E521-4B06-8B4F-A9619C320279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1955BB1D-2845-44A7-8252-A452A08D6106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C31B30C1-DCEF-468D-B1B3-B72E37D947C8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60,0%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48444A1C-7EC6-48AC-B634-AD51B7E64DB1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311823C1-83E4-4789-9609-1E0CB6BFF1F4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E1CC9805-603F-41F7-AE5C-7DEA9404F989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DAF4633E-2CCF-4551-BCD8-5E423DA44E70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42D561FC-826C-431E-998C-FCF128F05C4C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B4788D53-7837-4ABF-8424-324E8862E33D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2C5DF6EA-62E2-41CC-881E-FE59B3D59797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F84746A7-32B3-47DD-B437-304E9A21ED91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5263F341-AC20-4A5C-9A59-459BABC0D48F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3B0C2492-6A1C-405E-B5AB-18D35FABC86E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56B0DABD-0B9B-4683-9191-03A1B81D6E30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D72608C8-EE6D-43BE-9D5D-EB7A5B17766A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A2E4C19B-E224-4935-96E9-B2F57B9D7DF9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4E1F8B3A-2D73-47D1-9BB5-FF6E6931745C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40,0%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CB4FA367-FEB1-4259-8C6F-80EEF9D4D4D9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AE408DDC-BCB8-4A46-AF6B-786524D6B654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50800</xdr:colOff>
      <xdr:row>1</xdr:row>
      <xdr:rowOff>127000</xdr:rowOff>
    </xdr:from>
    <xdr:to>
      <xdr:col>2</xdr:col>
      <xdr:colOff>1244600</xdr:colOff>
      <xdr:row>13</xdr:row>
      <xdr:rowOff>79669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597B28D9-8903-437D-9C08-D2B912021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800" y="311150"/>
          <a:ext cx="1955800" cy="2168819"/>
        </a:xfrm>
        <a:prstGeom prst="rect">
          <a:avLst/>
        </a:prstGeom>
      </xdr:spPr>
    </xdr:pic>
    <xdr:clientData/>
  </xdr:twoCellAnchor>
  <xdr:twoCellAnchor>
    <xdr:from>
      <xdr:col>8</xdr:col>
      <xdr:colOff>500380</xdr:colOff>
      <xdr:row>39</xdr:row>
      <xdr:rowOff>20320</xdr:rowOff>
    </xdr:from>
    <xdr:to>
      <xdr:col>8</xdr:col>
      <xdr:colOff>779780</xdr:colOff>
      <xdr:row>40</xdr:row>
      <xdr:rowOff>99060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5978AE6D-D66B-4BA7-B68D-746A9AAAB3E7}"/>
            </a:ext>
          </a:extLst>
        </xdr:cNvPr>
        <xdr:cNvSpPr/>
      </xdr:nvSpPr>
      <xdr:spPr>
        <a:xfrm>
          <a:off x="7345680" y="7240270"/>
          <a:ext cx="2603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769620</xdr:colOff>
      <xdr:row>35</xdr:row>
      <xdr:rowOff>76200</xdr:rowOff>
    </xdr:from>
    <xdr:to>
      <xdr:col>8</xdr:col>
      <xdr:colOff>220980</xdr:colOff>
      <xdr:row>36</xdr:row>
      <xdr:rowOff>154940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50D672B0-7967-4FAD-9CE2-560335D98828}"/>
            </a:ext>
          </a:extLst>
        </xdr:cNvPr>
        <xdr:cNvSpPr/>
      </xdr:nvSpPr>
      <xdr:spPr>
        <a:xfrm>
          <a:off x="6846570" y="655320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734060</xdr:colOff>
      <xdr:row>32</xdr:row>
      <xdr:rowOff>134620</xdr:rowOff>
    </xdr:from>
    <xdr:to>
      <xdr:col>7</xdr:col>
      <xdr:colOff>185420</xdr:colOff>
      <xdr:row>34</xdr:row>
      <xdr:rowOff>25400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9433D349-C7F4-4F79-9491-BC0825393223}"/>
            </a:ext>
          </a:extLst>
        </xdr:cNvPr>
        <xdr:cNvSpPr/>
      </xdr:nvSpPr>
      <xdr:spPr>
        <a:xfrm>
          <a:off x="6055360" y="60528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31</xdr:row>
      <xdr:rowOff>157480</xdr:rowOff>
    </xdr:from>
    <xdr:to>
      <xdr:col>5</xdr:col>
      <xdr:colOff>292100</xdr:colOff>
      <xdr:row>33</xdr:row>
      <xdr:rowOff>48260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03187670-2392-4639-82D0-9DB02758812F}"/>
            </a:ext>
          </a:extLst>
        </xdr:cNvPr>
        <xdr:cNvSpPr/>
      </xdr:nvSpPr>
      <xdr:spPr>
        <a:xfrm>
          <a:off x="4572000" y="589153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30480</xdr:colOff>
      <xdr:row>32</xdr:row>
      <xdr:rowOff>160020</xdr:rowOff>
    </xdr:from>
    <xdr:to>
      <xdr:col>3</xdr:col>
      <xdr:colOff>309880</xdr:colOff>
      <xdr:row>34</xdr:row>
      <xdr:rowOff>50800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E9AD8334-6DD7-42E1-9465-923D7699A2E2}"/>
            </a:ext>
          </a:extLst>
        </xdr:cNvPr>
        <xdr:cNvSpPr/>
      </xdr:nvSpPr>
      <xdr:spPr>
        <a:xfrm>
          <a:off x="3065780" y="607822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812800</xdr:colOff>
      <xdr:row>35</xdr:row>
      <xdr:rowOff>76200</xdr:rowOff>
    </xdr:from>
    <xdr:to>
      <xdr:col>2</xdr:col>
      <xdr:colOff>1092200</xdr:colOff>
      <xdr:row>36</xdr:row>
      <xdr:rowOff>154940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9280D55E-4FFD-4D7D-84EB-DEC79DB84224}"/>
            </a:ext>
          </a:extLst>
        </xdr:cNvPr>
        <xdr:cNvSpPr/>
      </xdr:nvSpPr>
      <xdr:spPr>
        <a:xfrm>
          <a:off x="2336800" y="65532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317500</xdr:colOff>
      <xdr:row>39</xdr:row>
      <xdr:rowOff>20320</xdr:rowOff>
    </xdr:from>
    <xdr:to>
      <xdr:col>2</xdr:col>
      <xdr:colOff>596900</xdr:colOff>
      <xdr:row>40</xdr:row>
      <xdr:rowOff>99060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1AF30A50-C42E-4622-8E4E-DC1ADBECEA93}"/>
            </a:ext>
          </a:extLst>
        </xdr:cNvPr>
        <xdr:cNvSpPr/>
      </xdr:nvSpPr>
      <xdr:spPr>
        <a:xfrm>
          <a:off x="1841500" y="72402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1447800</xdr:colOff>
      <xdr:row>29</xdr:row>
      <xdr:rowOff>101600</xdr:rowOff>
    </xdr:from>
    <xdr:to>
      <xdr:col>3</xdr:col>
      <xdr:colOff>81280</xdr:colOff>
      <xdr:row>30</xdr:row>
      <xdr:rowOff>180340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32540886-13EA-44C0-B216-D8615DA2C27E}"/>
            </a:ext>
          </a:extLst>
        </xdr:cNvPr>
        <xdr:cNvSpPr/>
      </xdr:nvSpPr>
      <xdr:spPr>
        <a:xfrm>
          <a:off x="2971800" y="5467350"/>
          <a:ext cx="14478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1143000</xdr:colOff>
      <xdr:row>26</xdr:row>
      <xdr:rowOff>5080</xdr:rowOff>
    </xdr:from>
    <xdr:to>
      <xdr:col>2</xdr:col>
      <xdr:colOff>1422400</xdr:colOff>
      <xdr:row>27</xdr:row>
      <xdr:rowOff>83820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FBD5D06F-7844-40D3-A981-42F50ECE0565}"/>
            </a:ext>
          </a:extLst>
        </xdr:cNvPr>
        <xdr:cNvSpPr/>
      </xdr:nvSpPr>
      <xdr:spPr>
        <a:xfrm>
          <a:off x="2667000" y="48183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25400</xdr:colOff>
      <xdr:row>24</xdr:row>
      <xdr:rowOff>127000</xdr:rowOff>
    </xdr:from>
    <xdr:to>
      <xdr:col>5</xdr:col>
      <xdr:colOff>304800</xdr:colOff>
      <xdr:row>26</xdr:row>
      <xdr:rowOff>17780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6E2F1623-3893-4D07-8771-D826250BF3F5}"/>
            </a:ext>
          </a:extLst>
        </xdr:cNvPr>
        <xdr:cNvSpPr/>
      </xdr:nvSpPr>
      <xdr:spPr>
        <a:xfrm>
          <a:off x="4584700" y="45720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541020</xdr:colOff>
      <xdr:row>26</xdr:row>
      <xdr:rowOff>55880</xdr:rowOff>
    </xdr:from>
    <xdr:to>
      <xdr:col>7</xdr:col>
      <xdr:colOff>817880</xdr:colOff>
      <xdr:row>27</xdr:row>
      <xdr:rowOff>134620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77A64A75-4E5A-4D84-BA83-0EB078279800}"/>
            </a:ext>
          </a:extLst>
        </xdr:cNvPr>
        <xdr:cNvSpPr/>
      </xdr:nvSpPr>
      <xdr:spPr>
        <a:xfrm>
          <a:off x="6624320" y="4869180"/>
          <a:ext cx="2197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248920</xdr:colOff>
      <xdr:row>29</xdr:row>
      <xdr:rowOff>76200</xdr:rowOff>
    </xdr:from>
    <xdr:to>
      <xdr:col>7</xdr:col>
      <xdr:colOff>528320</xdr:colOff>
      <xdr:row>30</xdr:row>
      <xdr:rowOff>154940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66B19667-27AD-4789-BC30-9B0724A236BB}"/>
            </a:ext>
          </a:extLst>
        </xdr:cNvPr>
        <xdr:cNvSpPr/>
      </xdr:nvSpPr>
      <xdr:spPr>
        <a:xfrm>
          <a:off x="6332220" y="544195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812800</xdr:colOff>
      <xdr:row>28</xdr:row>
      <xdr:rowOff>35560</xdr:rowOff>
    </xdr:from>
    <xdr:to>
      <xdr:col>5</xdr:col>
      <xdr:colOff>266700</xdr:colOff>
      <xdr:row>29</xdr:row>
      <xdr:rowOff>114300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3356CD69-17BA-441C-AAED-582BD1CBE6D6}"/>
            </a:ext>
          </a:extLst>
        </xdr:cNvPr>
        <xdr:cNvSpPr/>
      </xdr:nvSpPr>
      <xdr:spPr>
        <a:xfrm>
          <a:off x="4559300" y="5217160"/>
          <a:ext cx="2667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734060</xdr:colOff>
      <xdr:row>25</xdr:row>
      <xdr:rowOff>88900</xdr:rowOff>
    </xdr:from>
    <xdr:to>
      <xdr:col>10</xdr:col>
      <xdr:colOff>187960</xdr:colOff>
      <xdr:row>26</xdr:row>
      <xdr:rowOff>167640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2568F71E-5A55-4922-97CC-D7123144E77E}"/>
            </a:ext>
          </a:extLst>
        </xdr:cNvPr>
        <xdr:cNvSpPr/>
      </xdr:nvSpPr>
      <xdr:spPr>
        <a:xfrm>
          <a:off x="8341360" y="4718050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673100</xdr:colOff>
      <xdr:row>21</xdr:row>
      <xdr:rowOff>152400</xdr:rowOff>
    </xdr:from>
    <xdr:to>
      <xdr:col>10</xdr:col>
      <xdr:colOff>280961</xdr:colOff>
      <xdr:row>23</xdr:row>
      <xdr:rowOff>69991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32525417-8B39-4D2A-82DD-CF544FEF444F}"/>
            </a:ext>
          </a:extLst>
        </xdr:cNvPr>
        <xdr:cNvSpPr txBox="1"/>
      </xdr:nvSpPr>
      <xdr:spPr>
        <a:xfrm>
          <a:off x="8280400" y="40386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682923</xdr:colOff>
      <xdr:row>23</xdr:row>
      <xdr:rowOff>128940</xdr:rowOff>
    </xdr:from>
    <xdr:to>
      <xdr:col>10</xdr:col>
      <xdr:colOff>319061</xdr:colOff>
      <xdr:row>24</xdr:row>
      <xdr:rowOff>189371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08AB9473-5094-42EC-9506-039F9E2DA666}"/>
            </a:ext>
          </a:extLst>
        </xdr:cNvPr>
        <xdr:cNvSpPr txBox="1"/>
      </xdr:nvSpPr>
      <xdr:spPr>
        <a:xfrm>
          <a:off x="8290223" y="43897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821793</xdr:colOff>
      <xdr:row>47</xdr:row>
      <xdr:rowOff>61956</xdr:rowOff>
    </xdr:from>
    <xdr:to>
      <xdr:col>7</xdr:col>
      <xdr:colOff>275693</xdr:colOff>
      <xdr:row>48</xdr:row>
      <xdr:rowOff>140696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1246517A-AC7C-4AFC-B325-A9277425CE51}"/>
            </a:ext>
          </a:extLst>
        </xdr:cNvPr>
        <xdr:cNvSpPr/>
      </xdr:nvSpPr>
      <xdr:spPr>
        <a:xfrm>
          <a:off x="6085943" y="8774156"/>
          <a:ext cx="2730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727813</xdr:colOff>
      <xdr:row>47</xdr:row>
      <xdr:rowOff>61956</xdr:rowOff>
    </xdr:from>
    <xdr:to>
      <xdr:col>4</xdr:col>
      <xdr:colOff>181713</xdr:colOff>
      <xdr:row>48</xdr:row>
      <xdr:rowOff>140696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93EB2FEE-D668-4350-A646-66AAA5854982}"/>
            </a:ext>
          </a:extLst>
        </xdr:cNvPr>
        <xdr:cNvSpPr/>
      </xdr:nvSpPr>
      <xdr:spPr>
        <a:xfrm>
          <a:off x="3763113" y="87741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321890</xdr:colOff>
      <xdr:row>21</xdr:row>
      <xdr:rowOff>190500</xdr:rowOff>
    </xdr:from>
    <xdr:to>
      <xdr:col>11</xdr:col>
      <xdr:colOff>107871</xdr:colOff>
      <xdr:row>23</xdr:row>
      <xdr:rowOff>94702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C52A18EA-BBB3-47A6-BA73-947FE65A2DD4}"/>
            </a:ext>
          </a:extLst>
        </xdr:cNvPr>
        <xdr:cNvSpPr txBox="1"/>
      </xdr:nvSpPr>
      <xdr:spPr>
        <a:xfrm>
          <a:off x="8691190" y="4076700"/>
          <a:ext cx="547981" cy="2788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317500</xdr:colOff>
      <xdr:row>23</xdr:row>
      <xdr:rowOff>137347</xdr:rowOff>
    </xdr:from>
    <xdr:to>
      <xdr:col>11</xdr:col>
      <xdr:colOff>499846</xdr:colOff>
      <xdr:row>25</xdr:row>
      <xdr:rowOff>74318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9BB726E2-C62C-48E5-B667-34E341C2D3F7}"/>
            </a:ext>
          </a:extLst>
        </xdr:cNvPr>
        <xdr:cNvSpPr txBox="1"/>
      </xdr:nvSpPr>
      <xdr:spPr>
        <a:xfrm>
          <a:off x="8686800" y="43981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317500</xdr:colOff>
      <xdr:row>25</xdr:row>
      <xdr:rowOff>101286</xdr:rowOff>
    </xdr:from>
    <xdr:to>
      <xdr:col>11</xdr:col>
      <xdr:colOff>421451</xdr:colOff>
      <xdr:row>27</xdr:row>
      <xdr:rowOff>53936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276CA23D-ED75-45D3-B0C5-5D689AB8F4EC}"/>
            </a:ext>
          </a:extLst>
        </xdr:cNvPr>
        <xdr:cNvSpPr txBox="1"/>
      </xdr:nvSpPr>
      <xdr:spPr>
        <a:xfrm>
          <a:off x="8686800" y="47304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50004</xdr:colOff>
      <xdr:row>14</xdr:row>
      <xdr:rowOff>5842</xdr:rowOff>
    </xdr:from>
    <xdr:to>
      <xdr:col>2</xdr:col>
      <xdr:colOff>1257300</xdr:colOff>
      <xdr:row>16</xdr:row>
      <xdr:rowOff>149412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71E8EEC-40F9-4328-B6D6-DBE02FA8A1CF}"/>
            </a:ext>
          </a:extLst>
        </xdr:cNvPr>
        <xdr:cNvSpPr/>
      </xdr:nvSpPr>
      <xdr:spPr>
        <a:xfrm>
          <a:off x="812004" y="2590292"/>
          <a:ext cx="1969296" cy="518220"/>
        </a:xfrm>
        <a:prstGeom prst="rect">
          <a:avLst/>
        </a:prstGeom>
        <a:solidFill>
          <a:srgbClr val="7640B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2800" b="1"/>
            <a:t>Naémi A.</a:t>
          </a:r>
        </a:p>
      </xdr:txBody>
    </xdr:sp>
    <xdr:clientData/>
  </xdr:twoCellAnchor>
  <xdr:twoCellAnchor editAs="oneCell">
    <xdr:from>
      <xdr:col>1</xdr:col>
      <xdr:colOff>56029</xdr:colOff>
      <xdr:row>20</xdr:row>
      <xdr:rowOff>59681</xdr:rowOff>
    </xdr:from>
    <xdr:to>
      <xdr:col>11</xdr:col>
      <xdr:colOff>503997</xdr:colOff>
      <xdr:row>51</xdr:row>
      <xdr:rowOff>11172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93F5EFF3-07A6-4EB9-B590-8050A5DCC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818029" y="3761731"/>
          <a:ext cx="8817268" cy="5698241"/>
        </a:xfrm>
        <a:prstGeom prst="rect">
          <a:avLst/>
        </a:prstGeom>
        <a:ln w="190500" cap="sq">
          <a:solidFill>
            <a:srgbClr val="C8C6BD"/>
          </a:solidFill>
          <a:prstDash val="solid"/>
          <a:miter lim="800000"/>
        </a:ln>
        <a:effectLst>
          <a:outerShdw blurRad="254000" algn="bl" rotWithShape="0">
            <a:srgbClr val="000000">
              <a:alpha val="43000"/>
            </a:srgbClr>
          </a:outerShdw>
        </a:effectLst>
        <a:scene3d>
          <a:camera prst="perspectiveFront" fov="5400000"/>
          <a:lightRig rig="threePt" dir="t">
            <a:rot lat="0" lon="0" rev="2100000"/>
          </a:lightRig>
        </a:scene3d>
        <a:sp3d extrusionH="25400">
          <a:bevelT w="304800" h="152400" prst="hardEdge"/>
          <a:extrusionClr>
            <a:srgbClr val="000000"/>
          </a:extrusionClr>
        </a:sp3d>
      </xdr:spPr>
    </xdr:pic>
    <xdr:clientData/>
  </xdr:twoCellAnchor>
  <xdr:twoCellAnchor>
    <xdr:from>
      <xdr:col>8</xdr:col>
      <xdr:colOff>915029</xdr:colOff>
      <xdr:row>31</xdr:row>
      <xdr:rowOff>135145</xdr:rowOff>
    </xdr:from>
    <xdr:to>
      <xdr:col>8</xdr:col>
      <xdr:colOff>1649989</xdr:colOff>
      <xdr:row>34</xdr:row>
      <xdr:rowOff>147373</xdr:rowOff>
    </xdr:to>
    <xdr:sp macro="" textlink="$R$107">
      <xdr:nvSpPr>
        <xdr:cNvPr id="4" name="ZoneTexte 3">
          <a:extLst>
            <a:ext uri="{FF2B5EF4-FFF2-40B4-BE49-F238E27FC236}">
              <a16:creationId xmlns:a16="http://schemas.microsoft.com/office/drawing/2014/main" id="{1D1C5D8D-0235-484B-9689-DABB37ED9F84}"/>
            </a:ext>
          </a:extLst>
        </xdr:cNvPr>
        <xdr:cNvSpPr txBox="1"/>
      </xdr:nvSpPr>
      <xdr:spPr>
        <a:xfrm>
          <a:off x="7607929" y="5869195"/>
          <a:ext cx="0" cy="56467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FA1EA01-F5F9-9147-8C65-FF4DC99F35E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906237</xdr:colOff>
      <xdr:row>28</xdr:row>
      <xdr:rowOff>60952</xdr:rowOff>
    </xdr:from>
    <xdr:to>
      <xdr:col>8</xdr:col>
      <xdr:colOff>1641197</xdr:colOff>
      <xdr:row>31</xdr:row>
      <xdr:rowOff>86152</xdr:rowOff>
    </xdr:to>
    <xdr:sp macro="" textlink="$R$110">
      <xdr:nvSpPr>
        <xdr:cNvPr id="5" name="ZoneTexte 4">
          <a:extLst>
            <a:ext uri="{FF2B5EF4-FFF2-40B4-BE49-F238E27FC236}">
              <a16:creationId xmlns:a16="http://schemas.microsoft.com/office/drawing/2014/main" id="{F760B4D4-1673-4F89-812F-7CA20256C849}"/>
            </a:ext>
          </a:extLst>
        </xdr:cNvPr>
        <xdr:cNvSpPr txBox="1"/>
      </xdr:nvSpPr>
      <xdr:spPr>
        <a:xfrm>
          <a:off x="7605487" y="5242552"/>
          <a:ext cx="4710" cy="57765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1CBFE3-5E97-AF49-86B9-7523F98D5FD6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908918</xdr:colOff>
      <xdr:row>24</xdr:row>
      <xdr:rowOff>180487</xdr:rowOff>
    </xdr:from>
    <xdr:to>
      <xdr:col>9</xdr:col>
      <xdr:colOff>6854</xdr:colOff>
      <xdr:row>28</xdr:row>
      <xdr:rowOff>11286</xdr:rowOff>
    </xdr:to>
    <xdr:sp macro="" textlink="$R$115">
      <xdr:nvSpPr>
        <xdr:cNvPr id="6" name="ZoneTexte 5">
          <a:extLst>
            <a:ext uri="{FF2B5EF4-FFF2-40B4-BE49-F238E27FC236}">
              <a16:creationId xmlns:a16="http://schemas.microsoft.com/office/drawing/2014/main" id="{58DFFDDD-D5C5-4C9D-A048-3057C89BA431}"/>
            </a:ext>
          </a:extLst>
        </xdr:cNvPr>
        <xdr:cNvSpPr txBox="1"/>
      </xdr:nvSpPr>
      <xdr:spPr>
        <a:xfrm>
          <a:off x="7608168" y="4625487"/>
          <a:ext cx="5986" cy="56739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011CC80-D27A-104C-87D9-5483832853ED}" type="TxLink">
            <a:rPr lang="en-US" sz="11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pPr algn="ctr"/>
            <a:t> 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</xdr:col>
      <xdr:colOff>130324</xdr:colOff>
      <xdr:row>20</xdr:row>
      <xdr:rowOff>154856</xdr:rowOff>
    </xdr:from>
    <xdr:to>
      <xdr:col>11</xdr:col>
      <xdr:colOff>448236</xdr:colOff>
      <xdr:row>24</xdr:row>
      <xdr:rowOff>96195</xdr:rowOff>
    </xdr:to>
    <xdr:sp macro="" textlink="">
      <xdr:nvSpPr>
        <xdr:cNvPr id="7" name="ZoneTexte 6">
          <a:extLst>
            <a:ext uri="{FF2B5EF4-FFF2-40B4-BE49-F238E27FC236}">
              <a16:creationId xmlns:a16="http://schemas.microsoft.com/office/drawing/2014/main" id="{85C8FEB3-5C4E-4DBB-A6E5-62B541E17077}"/>
            </a:ext>
          </a:extLst>
        </xdr:cNvPr>
        <xdr:cNvSpPr txBox="1"/>
      </xdr:nvSpPr>
      <xdr:spPr>
        <a:xfrm>
          <a:off x="892324" y="3856906"/>
          <a:ext cx="8687212" cy="684289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Répartition &amp; efficacité des shoots /secteurs</a:t>
          </a:r>
        </a:p>
      </xdr:txBody>
    </xdr:sp>
    <xdr:clientData/>
  </xdr:twoCellAnchor>
  <xdr:twoCellAnchor>
    <xdr:from>
      <xdr:col>4</xdr:col>
      <xdr:colOff>608349</xdr:colOff>
      <xdr:row>47</xdr:row>
      <xdr:rowOff>185948</xdr:rowOff>
    </xdr:from>
    <xdr:to>
      <xdr:col>5</xdr:col>
      <xdr:colOff>530622</xdr:colOff>
      <xdr:row>49</xdr:row>
      <xdr:rowOff>149293</xdr:rowOff>
    </xdr:to>
    <xdr:sp macro="" textlink="$R$55">
      <xdr:nvSpPr>
        <xdr:cNvPr id="8" name="ZoneTexte 7">
          <a:extLst>
            <a:ext uri="{FF2B5EF4-FFF2-40B4-BE49-F238E27FC236}">
              <a16:creationId xmlns:a16="http://schemas.microsoft.com/office/drawing/2014/main" id="{840DBCCB-F362-43EF-9A19-AE59028095B9}"/>
            </a:ext>
          </a:extLst>
        </xdr:cNvPr>
        <xdr:cNvSpPr txBox="1"/>
      </xdr:nvSpPr>
      <xdr:spPr>
        <a:xfrm>
          <a:off x="4405649" y="8898148"/>
          <a:ext cx="684273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8BAA6920-EDE1-5647-95F6-79D8722B099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691522</xdr:colOff>
      <xdr:row>47</xdr:row>
      <xdr:rowOff>185948</xdr:rowOff>
    </xdr:from>
    <xdr:to>
      <xdr:col>8</xdr:col>
      <xdr:colOff>618028</xdr:colOff>
      <xdr:row>49</xdr:row>
      <xdr:rowOff>149293</xdr:rowOff>
    </xdr:to>
    <xdr:sp macro="" textlink="$R$56">
      <xdr:nvSpPr>
        <xdr:cNvPr id="9" name="ZoneTexte 8">
          <a:extLst>
            <a:ext uri="{FF2B5EF4-FFF2-40B4-BE49-F238E27FC236}">
              <a16:creationId xmlns:a16="http://schemas.microsoft.com/office/drawing/2014/main" id="{BD8FC63C-DFC1-46F3-AD0E-775A6AC85091}"/>
            </a:ext>
          </a:extLst>
        </xdr:cNvPr>
        <xdr:cNvSpPr txBox="1"/>
      </xdr:nvSpPr>
      <xdr:spPr>
        <a:xfrm>
          <a:off x="6774822" y="8898148"/>
          <a:ext cx="688506" cy="33164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510B35D8-E7F0-C849-B30C-4666E5C48AE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100%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708249</xdr:colOff>
      <xdr:row>28</xdr:row>
      <xdr:rowOff>184645</xdr:rowOff>
    </xdr:from>
    <xdr:to>
      <xdr:col>6</xdr:col>
      <xdr:colOff>625724</xdr:colOff>
      <xdr:row>30</xdr:row>
      <xdr:rowOff>160013</xdr:rowOff>
    </xdr:to>
    <xdr:sp macro="" textlink="$R$42">
      <xdr:nvSpPr>
        <xdr:cNvPr id="10" name="ZoneTexte 9">
          <a:extLst>
            <a:ext uri="{FF2B5EF4-FFF2-40B4-BE49-F238E27FC236}">
              <a16:creationId xmlns:a16="http://schemas.microsoft.com/office/drawing/2014/main" id="{1F037CBE-775C-48DA-B250-EFB34D5A79BB}"/>
            </a:ext>
          </a:extLst>
        </xdr:cNvPr>
        <xdr:cNvSpPr txBox="1"/>
      </xdr:nvSpPr>
      <xdr:spPr>
        <a:xfrm>
          <a:off x="5267549" y="5366245"/>
          <a:ext cx="679475" cy="34366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6C7A88BC-BC6A-B046-B55C-BA4DB4F7A7F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116354</xdr:colOff>
      <xdr:row>30</xdr:row>
      <xdr:rowOff>73508</xdr:rowOff>
    </xdr:from>
    <xdr:to>
      <xdr:col>9</xdr:col>
      <xdr:colOff>82137</xdr:colOff>
      <xdr:row>32</xdr:row>
      <xdr:rowOff>33539</xdr:rowOff>
    </xdr:to>
    <xdr:sp macro="" textlink="$R$43">
      <xdr:nvSpPr>
        <xdr:cNvPr id="11" name="ZoneTexte 10">
          <a:extLst>
            <a:ext uri="{FF2B5EF4-FFF2-40B4-BE49-F238E27FC236}">
              <a16:creationId xmlns:a16="http://schemas.microsoft.com/office/drawing/2014/main" id="{DAA98DED-CFC6-455F-95AA-7F9F44F5F15A}"/>
            </a:ext>
          </a:extLst>
        </xdr:cNvPr>
        <xdr:cNvSpPr txBox="1"/>
      </xdr:nvSpPr>
      <xdr:spPr>
        <a:xfrm>
          <a:off x="6961654" y="5623408"/>
          <a:ext cx="727783" cy="3283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A65FE1EB-2177-BF4A-9646-7A5B19DFC1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528364</xdr:colOff>
      <xdr:row>30</xdr:row>
      <xdr:rowOff>8180</xdr:rowOff>
    </xdr:from>
    <xdr:to>
      <xdr:col>4</xdr:col>
      <xdr:colOff>447885</xdr:colOff>
      <xdr:row>31</xdr:row>
      <xdr:rowOff>167337</xdr:rowOff>
    </xdr:to>
    <xdr:sp macro="" textlink="$R$44">
      <xdr:nvSpPr>
        <xdr:cNvPr id="12" name="ZoneTexte 11">
          <a:extLst>
            <a:ext uri="{FF2B5EF4-FFF2-40B4-BE49-F238E27FC236}">
              <a16:creationId xmlns:a16="http://schemas.microsoft.com/office/drawing/2014/main" id="{DF1A078C-8872-489B-8CA7-8D7C8B44E40E}"/>
            </a:ext>
          </a:extLst>
        </xdr:cNvPr>
        <xdr:cNvSpPr txBox="1"/>
      </xdr:nvSpPr>
      <xdr:spPr>
        <a:xfrm>
          <a:off x="3563664" y="5558080"/>
          <a:ext cx="681521" cy="3433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746451F-4EBC-9149-97F0-A03F09E1EED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345977</xdr:colOff>
      <xdr:row>27</xdr:row>
      <xdr:rowOff>18786</xdr:rowOff>
    </xdr:from>
    <xdr:to>
      <xdr:col>9</xdr:col>
      <xdr:colOff>304317</xdr:colOff>
      <xdr:row>28</xdr:row>
      <xdr:rowOff>181975</xdr:rowOff>
    </xdr:to>
    <xdr:sp macro="" textlink="$R$52">
      <xdr:nvSpPr>
        <xdr:cNvPr id="13" name="ZoneTexte 12">
          <a:extLst>
            <a:ext uri="{FF2B5EF4-FFF2-40B4-BE49-F238E27FC236}">
              <a16:creationId xmlns:a16="http://schemas.microsoft.com/office/drawing/2014/main" id="{A3C1A39B-FAB3-4582-833F-F96EFC1732FB}"/>
            </a:ext>
          </a:extLst>
        </xdr:cNvPr>
        <xdr:cNvSpPr txBox="1"/>
      </xdr:nvSpPr>
      <xdr:spPr>
        <a:xfrm>
          <a:off x="7191277" y="5016236"/>
          <a:ext cx="720340" cy="347339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34D92C1E-9C47-4044-8E73-26474AAACD2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683018</xdr:colOff>
      <xdr:row>25</xdr:row>
      <xdr:rowOff>116358</xdr:rowOff>
    </xdr:from>
    <xdr:to>
      <xdr:col>6</xdr:col>
      <xdr:colOff>638194</xdr:colOff>
      <xdr:row>27</xdr:row>
      <xdr:rowOff>83663</xdr:rowOff>
    </xdr:to>
    <xdr:sp macro="" textlink="$R$53">
      <xdr:nvSpPr>
        <xdr:cNvPr id="14" name="ZoneTexte 13">
          <a:extLst>
            <a:ext uri="{FF2B5EF4-FFF2-40B4-BE49-F238E27FC236}">
              <a16:creationId xmlns:a16="http://schemas.microsoft.com/office/drawing/2014/main" id="{D9AF03A5-B076-49DF-AC42-11185208E6F4}"/>
            </a:ext>
          </a:extLst>
        </xdr:cNvPr>
        <xdr:cNvSpPr txBox="1"/>
      </xdr:nvSpPr>
      <xdr:spPr>
        <a:xfrm>
          <a:off x="5242318" y="4745508"/>
          <a:ext cx="717176" cy="3356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B8653AC-6F5E-F441-A500-1B24155F140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104610</xdr:colOff>
      <xdr:row>26</xdr:row>
      <xdr:rowOff>156610</xdr:rowOff>
    </xdr:from>
    <xdr:to>
      <xdr:col>4</xdr:col>
      <xdr:colOff>61832</xdr:colOff>
      <xdr:row>28</xdr:row>
      <xdr:rowOff>123917</xdr:rowOff>
    </xdr:to>
    <xdr:sp macro="" textlink="$R$54">
      <xdr:nvSpPr>
        <xdr:cNvPr id="15" name="ZoneTexte 14">
          <a:extLst>
            <a:ext uri="{FF2B5EF4-FFF2-40B4-BE49-F238E27FC236}">
              <a16:creationId xmlns:a16="http://schemas.microsoft.com/office/drawing/2014/main" id="{41C4B3F7-EA3C-4DD9-85A0-BDA4488ECA01}"/>
            </a:ext>
          </a:extLst>
        </xdr:cNvPr>
        <xdr:cNvSpPr txBox="1"/>
      </xdr:nvSpPr>
      <xdr:spPr>
        <a:xfrm>
          <a:off x="3139910" y="4969910"/>
          <a:ext cx="719222" cy="335607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47F4654-2377-1C4D-9C09-413CA67088A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4000" b="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319056</xdr:colOff>
      <xdr:row>39</xdr:row>
      <xdr:rowOff>145141</xdr:rowOff>
    </xdr:from>
    <xdr:to>
      <xdr:col>10</xdr:col>
      <xdr:colOff>249794</xdr:colOff>
      <xdr:row>41</xdr:row>
      <xdr:rowOff>94043</xdr:rowOff>
    </xdr:to>
    <xdr:sp macro="" textlink="$R$45">
      <xdr:nvSpPr>
        <xdr:cNvPr id="16" name="ZoneTexte 15">
          <a:extLst>
            <a:ext uri="{FF2B5EF4-FFF2-40B4-BE49-F238E27FC236}">
              <a16:creationId xmlns:a16="http://schemas.microsoft.com/office/drawing/2014/main" id="{98203FF7-A966-4E8B-81FE-C16F10E8FE19}"/>
            </a:ext>
          </a:extLst>
        </xdr:cNvPr>
        <xdr:cNvSpPr txBox="1"/>
      </xdr:nvSpPr>
      <xdr:spPr>
        <a:xfrm>
          <a:off x="7926356" y="7365091"/>
          <a:ext cx="692738" cy="323552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755AE69-A553-024C-B057-C5E0E7EAA9C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0%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629657</xdr:colOff>
      <xdr:row>36</xdr:row>
      <xdr:rowOff>25247</xdr:rowOff>
    </xdr:from>
    <xdr:to>
      <xdr:col>9</xdr:col>
      <xdr:colOff>558110</xdr:colOff>
      <xdr:row>37</xdr:row>
      <xdr:rowOff>162545</xdr:rowOff>
    </xdr:to>
    <xdr:sp macro="" textlink="$R$46">
      <xdr:nvSpPr>
        <xdr:cNvPr id="17" name="ZoneTexte 16">
          <a:extLst>
            <a:ext uri="{FF2B5EF4-FFF2-40B4-BE49-F238E27FC236}">
              <a16:creationId xmlns:a16="http://schemas.microsoft.com/office/drawing/2014/main" id="{332D0CAF-1CDA-4E88-8AC8-7F31F1E9D687}"/>
            </a:ext>
          </a:extLst>
        </xdr:cNvPr>
        <xdr:cNvSpPr txBox="1"/>
      </xdr:nvSpPr>
      <xdr:spPr>
        <a:xfrm>
          <a:off x="7474957" y="6686397"/>
          <a:ext cx="690453" cy="327798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924E40BE-1884-5845-B39B-149D5F00E7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577416</xdr:colOff>
      <xdr:row>33</xdr:row>
      <xdr:rowOff>87213</xdr:rowOff>
    </xdr:from>
    <xdr:to>
      <xdr:col>8</xdr:col>
      <xdr:colOff>497870</xdr:colOff>
      <xdr:row>35</xdr:row>
      <xdr:rowOff>28629</xdr:rowOff>
    </xdr:to>
    <xdr:sp macro="" textlink="$R$47">
      <xdr:nvSpPr>
        <xdr:cNvPr id="18" name="ZoneTexte 17">
          <a:extLst>
            <a:ext uri="{FF2B5EF4-FFF2-40B4-BE49-F238E27FC236}">
              <a16:creationId xmlns:a16="http://schemas.microsoft.com/office/drawing/2014/main" id="{88A15DC4-1899-4E4C-912A-3B6856BF313B}"/>
            </a:ext>
          </a:extLst>
        </xdr:cNvPr>
        <xdr:cNvSpPr txBox="1"/>
      </xdr:nvSpPr>
      <xdr:spPr>
        <a:xfrm>
          <a:off x="6660716" y="6189563"/>
          <a:ext cx="682454" cy="31606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496CC020-4967-A547-8FB5-E87C49EDC7A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703085</xdr:colOff>
      <xdr:row>32</xdr:row>
      <xdr:rowOff>90914</xdr:rowOff>
    </xdr:from>
    <xdr:to>
      <xdr:col>6</xdr:col>
      <xdr:colOff>620560</xdr:colOff>
      <xdr:row>34</xdr:row>
      <xdr:rowOff>40790</xdr:rowOff>
    </xdr:to>
    <xdr:sp macro="" textlink="$R$48">
      <xdr:nvSpPr>
        <xdr:cNvPr id="19" name="ZoneTexte 18">
          <a:extLst>
            <a:ext uri="{FF2B5EF4-FFF2-40B4-BE49-F238E27FC236}">
              <a16:creationId xmlns:a16="http://schemas.microsoft.com/office/drawing/2014/main" id="{D4AA75E2-0797-41BC-BC66-2153F6F104A7}"/>
            </a:ext>
          </a:extLst>
        </xdr:cNvPr>
        <xdr:cNvSpPr txBox="1"/>
      </xdr:nvSpPr>
      <xdr:spPr>
        <a:xfrm>
          <a:off x="5262385" y="6009114"/>
          <a:ext cx="679475" cy="318176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0AC660F0-4B5F-F746-AEA5-38B74D83496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716862</xdr:colOff>
      <xdr:row>33</xdr:row>
      <xdr:rowOff>72324</xdr:rowOff>
    </xdr:from>
    <xdr:to>
      <xdr:col>4</xdr:col>
      <xdr:colOff>636383</xdr:colOff>
      <xdr:row>35</xdr:row>
      <xdr:rowOff>19879</xdr:rowOff>
    </xdr:to>
    <xdr:sp macro="" textlink="$R$49">
      <xdr:nvSpPr>
        <xdr:cNvPr id="20" name="ZoneTexte 19">
          <a:extLst>
            <a:ext uri="{FF2B5EF4-FFF2-40B4-BE49-F238E27FC236}">
              <a16:creationId xmlns:a16="http://schemas.microsoft.com/office/drawing/2014/main" id="{48C511F7-D6DF-4992-AEF4-1DFFC61C484C}"/>
            </a:ext>
          </a:extLst>
        </xdr:cNvPr>
        <xdr:cNvSpPr txBox="1"/>
      </xdr:nvSpPr>
      <xdr:spPr>
        <a:xfrm>
          <a:off x="3752162" y="6174674"/>
          <a:ext cx="681521" cy="322205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27FF2D4F-2530-7747-8116-A2694CB0362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1485301</xdr:colOff>
      <xdr:row>36</xdr:row>
      <xdr:rowOff>21882</xdr:rowOff>
    </xdr:from>
    <xdr:to>
      <xdr:col>3</xdr:col>
      <xdr:colOff>574313</xdr:colOff>
      <xdr:row>37</xdr:row>
      <xdr:rowOff>155765</xdr:rowOff>
    </xdr:to>
    <xdr:sp macro="" textlink="$R$50">
      <xdr:nvSpPr>
        <xdr:cNvPr id="21" name="ZoneTexte 20">
          <a:extLst>
            <a:ext uri="{FF2B5EF4-FFF2-40B4-BE49-F238E27FC236}">
              <a16:creationId xmlns:a16="http://schemas.microsoft.com/office/drawing/2014/main" id="{0ADC86CC-46AD-4410-A2B0-4204B3FC41CA}"/>
            </a:ext>
          </a:extLst>
        </xdr:cNvPr>
        <xdr:cNvSpPr txBox="1"/>
      </xdr:nvSpPr>
      <xdr:spPr>
        <a:xfrm>
          <a:off x="3009301" y="6683032"/>
          <a:ext cx="600312" cy="324383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F8B85DC8-251E-AD47-A58A-7C52E74DAAFE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924489</xdr:colOff>
      <xdr:row>39</xdr:row>
      <xdr:rowOff>154254</xdr:rowOff>
    </xdr:from>
    <xdr:to>
      <xdr:col>3</xdr:col>
      <xdr:colOff>19083</xdr:colOff>
      <xdr:row>41</xdr:row>
      <xdr:rowOff>103155</xdr:rowOff>
    </xdr:to>
    <xdr:sp macro="" textlink="$R$51">
      <xdr:nvSpPr>
        <xdr:cNvPr id="22" name="ZoneTexte 21">
          <a:extLst>
            <a:ext uri="{FF2B5EF4-FFF2-40B4-BE49-F238E27FC236}">
              <a16:creationId xmlns:a16="http://schemas.microsoft.com/office/drawing/2014/main" id="{2A628E99-3139-4444-B24C-D3C0F90BF05B}"/>
            </a:ext>
          </a:extLst>
        </xdr:cNvPr>
        <xdr:cNvSpPr txBox="1"/>
      </xdr:nvSpPr>
      <xdr:spPr>
        <a:xfrm>
          <a:off x="2448489" y="7374204"/>
          <a:ext cx="605894" cy="32355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fld id="{11E45E77-0D81-1A40-9F16-08EE461DAD82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r"/>
            <a:t>#DIV/0!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576067</xdr:colOff>
      <xdr:row>39</xdr:row>
      <xdr:rowOff>14515</xdr:rowOff>
    </xdr:from>
    <xdr:to>
      <xdr:col>9</xdr:col>
      <xdr:colOff>514434</xdr:colOff>
      <xdr:row>42</xdr:row>
      <xdr:rowOff>38838</xdr:rowOff>
    </xdr:to>
    <xdr:sp macro="" textlink="$R$23">
      <xdr:nvSpPr>
        <xdr:cNvPr id="23" name="ZoneTexte 22">
          <a:extLst>
            <a:ext uri="{FF2B5EF4-FFF2-40B4-BE49-F238E27FC236}">
              <a16:creationId xmlns:a16="http://schemas.microsoft.com/office/drawing/2014/main" id="{6904D612-1BE5-47D9-833E-F6AEA25E2F51}"/>
            </a:ext>
          </a:extLst>
        </xdr:cNvPr>
        <xdr:cNvSpPr txBox="1"/>
      </xdr:nvSpPr>
      <xdr:spPr>
        <a:xfrm>
          <a:off x="7421367" y="7234465"/>
          <a:ext cx="700367" cy="58947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E5080D0-DF86-894A-9CED-8FC5C336F1F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33,3%</a:t>
          </a:fld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8</xdr:col>
      <xdr:colOff>65274</xdr:colOff>
      <xdr:row>35</xdr:row>
      <xdr:rowOff>85377</xdr:rowOff>
    </xdr:from>
    <xdr:to>
      <xdr:col>8</xdr:col>
      <xdr:colOff>807492</xdr:colOff>
      <xdr:row>38</xdr:row>
      <xdr:rowOff>107343</xdr:rowOff>
    </xdr:to>
    <xdr:sp macro="" textlink="$R$24">
      <xdr:nvSpPr>
        <xdr:cNvPr id="24" name="ZoneTexte 23">
          <a:extLst>
            <a:ext uri="{FF2B5EF4-FFF2-40B4-BE49-F238E27FC236}">
              <a16:creationId xmlns:a16="http://schemas.microsoft.com/office/drawing/2014/main" id="{8B171048-6BD5-45D6-B651-00AF5BEA2EDA}"/>
            </a:ext>
          </a:extLst>
        </xdr:cNvPr>
        <xdr:cNvSpPr txBox="1"/>
      </xdr:nvSpPr>
      <xdr:spPr>
        <a:xfrm>
          <a:off x="6910574" y="6562377"/>
          <a:ext cx="697768" cy="580766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86A85CF-76FC-1346-B365-EF4D584B77E7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18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16756</xdr:colOff>
      <xdr:row>32</xdr:row>
      <xdr:rowOff>133388</xdr:rowOff>
    </xdr:from>
    <xdr:to>
      <xdr:col>7</xdr:col>
      <xdr:colOff>755251</xdr:colOff>
      <xdr:row>35</xdr:row>
      <xdr:rowOff>155352</xdr:rowOff>
    </xdr:to>
    <xdr:sp macro="" textlink="$R$25">
      <xdr:nvSpPr>
        <xdr:cNvPr id="25" name="ZoneTexte 24">
          <a:extLst>
            <a:ext uri="{FF2B5EF4-FFF2-40B4-BE49-F238E27FC236}">
              <a16:creationId xmlns:a16="http://schemas.microsoft.com/office/drawing/2014/main" id="{CB5DD377-CD37-4E84-B499-0A7F332222A2}"/>
            </a:ext>
          </a:extLst>
        </xdr:cNvPr>
        <xdr:cNvSpPr txBox="1"/>
      </xdr:nvSpPr>
      <xdr:spPr>
        <a:xfrm>
          <a:off x="6100056" y="6051588"/>
          <a:ext cx="738495" cy="580764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788B273-FB60-E74B-976A-B0CD59C81D8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145960</xdr:colOff>
      <xdr:row>31</xdr:row>
      <xdr:rowOff>139845</xdr:rowOff>
    </xdr:from>
    <xdr:to>
      <xdr:col>6</xdr:col>
      <xdr:colOff>59155</xdr:colOff>
      <xdr:row>34</xdr:row>
      <xdr:rowOff>167512</xdr:rowOff>
    </xdr:to>
    <xdr:sp macro="" textlink="$R$26">
      <xdr:nvSpPr>
        <xdr:cNvPr id="26" name="ZoneTexte 25">
          <a:extLst>
            <a:ext uri="{FF2B5EF4-FFF2-40B4-BE49-F238E27FC236}">
              <a16:creationId xmlns:a16="http://schemas.microsoft.com/office/drawing/2014/main" id="{41CD4FAF-30B1-4507-8AB4-D2F7E891FC8F}"/>
            </a:ext>
          </a:extLst>
        </xdr:cNvPr>
        <xdr:cNvSpPr txBox="1"/>
      </xdr:nvSpPr>
      <xdr:spPr>
        <a:xfrm>
          <a:off x="4705260" y="5873895"/>
          <a:ext cx="675195" cy="58011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C9E75CD-872A-B648-93B5-FC4E957790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159737</xdr:colOff>
      <xdr:row>32</xdr:row>
      <xdr:rowOff>132454</xdr:rowOff>
    </xdr:from>
    <xdr:to>
      <xdr:col>4</xdr:col>
      <xdr:colOff>79258</xdr:colOff>
      <xdr:row>35</xdr:row>
      <xdr:rowOff>154417</xdr:rowOff>
    </xdr:to>
    <xdr:sp macro="" textlink="$R$27">
      <xdr:nvSpPr>
        <xdr:cNvPr id="27" name="ZoneTexte 26">
          <a:extLst>
            <a:ext uri="{FF2B5EF4-FFF2-40B4-BE49-F238E27FC236}">
              <a16:creationId xmlns:a16="http://schemas.microsoft.com/office/drawing/2014/main" id="{8986521E-F018-42D8-AF45-90657718DF64}"/>
            </a:ext>
          </a:extLst>
        </xdr:cNvPr>
        <xdr:cNvSpPr txBox="1"/>
      </xdr:nvSpPr>
      <xdr:spPr>
        <a:xfrm>
          <a:off x="3195037" y="6050654"/>
          <a:ext cx="681521" cy="580763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6196FA5-C7DC-C647-AE5E-1240315BD879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922594</xdr:colOff>
      <xdr:row>35</xdr:row>
      <xdr:rowOff>68374</xdr:rowOff>
    </xdr:from>
    <xdr:to>
      <xdr:col>3</xdr:col>
      <xdr:colOff>17188</xdr:colOff>
      <xdr:row>38</xdr:row>
      <xdr:rowOff>100562</xdr:rowOff>
    </xdr:to>
    <xdr:sp macro="" textlink="$R$28">
      <xdr:nvSpPr>
        <xdr:cNvPr id="28" name="ZoneTexte 27">
          <a:extLst>
            <a:ext uri="{FF2B5EF4-FFF2-40B4-BE49-F238E27FC236}">
              <a16:creationId xmlns:a16="http://schemas.microsoft.com/office/drawing/2014/main" id="{F5B11656-8793-4B16-9F5D-0B6E7B194EB4}"/>
            </a:ext>
          </a:extLst>
        </xdr:cNvPr>
        <xdr:cNvSpPr txBox="1"/>
      </xdr:nvSpPr>
      <xdr:spPr>
        <a:xfrm>
          <a:off x="2446594" y="6545374"/>
          <a:ext cx="605894" cy="59098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95A468B-BFC3-6143-A3FC-EF9173ECBBD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137168</xdr:colOff>
      <xdr:row>28</xdr:row>
      <xdr:rowOff>50213</xdr:rowOff>
    </xdr:from>
    <xdr:to>
      <xdr:col>6</xdr:col>
      <xdr:colOff>50363</xdr:colOff>
      <xdr:row>31</xdr:row>
      <xdr:rowOff>90852</xdr:rowOff>
    </xdr:to>
    <xdr:sp macro="" textlink="$R$30">
      <xdr:nvSpPr>
        <xdr:cNvPr id="29" name="ZoneTexte 28">
          <a:extLst>
            <a:ext uri="{FF2B5EF4-FFF2-40B4-BE49-F238E27FC236}">
              <a16:creationId xmlns:a16="http://schemas.microsoft.com/office/drawing/2014/main" id="{74DAB331-0A07-4260-931E-B1110C968FD1}"/>
            </a:ext>
          </a:extLst>
        </xdr:cNvPr>
        <xdr:cNvSpPr txBox="1"/>
      </xdr:nvSpPr>
      <xdr:spPr>
        <a:xfrm>
          <a:off x="4696468" y="5231813"/>
          <a:ext cx="675195" cy="59308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42FE40-B87A-E545-9B9C-2F5E2215C18C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339125</xdr:colOff>
      <xdr:row>29</xdr:row>
      <xdr:rowOff>132591</xdr:rowOff>
    </xdr:from>
    <xdr:to>
      <xdr:col>8</xdr:col>
      <xdr:colOff>297465</xdr:colOff>
      <xdr:row>32</xdr:row>
      <xdr:rowOff>160259</xdr:rowOff>
    </xdr:to>
    <xdr:sp macro="" textlink="$R$31">
      <xdr:nvSpPr>
        <xdr:cNvPr id="30" name="ZoneTexte 29">
          <a:extLst>
            <a:ext uri="{FF2B5EF4-FFF2-40B4-BE49-F238E27FC236}">
              <a16:creationId xmlns:a16="http://schemas.microsoft.com/office/drawing/2014/main" id="{3993D9A6-E85B-4D6F-B210-224B7F446F22}"/>
            </a:ext>
          </a:extLst>
        </xdr:cNvPr>
        <xdr:cNvSpPr txBox="1"/>
      </xdr:nvSpPr>
      <xdr:spPr>
        <a:xfrm>
          <a:off x="6422425" y="5498341"/>
          <a:ext cx="720340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BFBE49F-DC5A-5048-BD2E-A99929FD658F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1575319</xdr:colOff>
      <xdr:row>29</xdr:row>
      <xdr:rowOff>60513</xdr:rowOff>
    </xdr:from>
    <xdr:to>
      <xdr:col>3</xdr:col>
      <xdr:colOff>664331</xdr:colOff>
      <xdr:row>32</xdr:row>
      <xdr:rowOff>101153</xdr:rowOff>
    </xdr:to>
    <xdr:sp macro="" textlink="$R$32">
      <xdr:nvSpPr>
        <xdr:cNvPr id="31" name="ZoneTexte 30">
          <a:extLst>
            <a:ext uri="{FF2B5EF4-FFF2-40B4-BE49-F238E27FC236}">
              <a16:creationId xmlns:a16="http://schemas.microsoft.com/office/drawing/2014/main" id="{BC335578-259C-4571-A107-2C61C03CDA48}"/>
            </a:ext>
          </a:extLst>
        </xdr:cNvPr>
        <xdr:cNvSpPr txBox="1"/>
      </xdr:nvSpPr>
      <xdr:spPr>
        <a:xfrm>
          <a:off x="3035819" y="5426263"/>
          <a:ext cx="663812" cy="593090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681D2D8-F85E-F248-A066-7F2E24645991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392206</xdr:colOff>
      <xdr:row>39</xdr:row>
      <xdr:rowOff>23628</xdr:rowOff>
    </xdr:from>
    <xdr:to>
      <xdr:col>2</xdr:col>
      <xdr:colOff>1133306</xdr:colOff>
      <xdr:row>42</xdr:row>
      <xdr:rowOff>47950</xdr:rowOff>
    </xdr:to>
    <xdr:sp macro="" textlink="$R$29">
      <xdr:nvSpPr>
        <xdr:cNvPr id="32" name="ZoneTexte 31">
          <a:extLst>
            <a:ext uri="{FF2B5EF4-FFF2-40B4-BE49-F238E27FC236}">
              <a16:creationId xmlns:a16="http://schemas.microsoft.com/office/drawing/2014/main" id="{68E757D9-AB49-41A2-9E06-0AFA5DE22760}"/>
            </a:ext>
          </a:extLst>
        </xdr:cNvPr>
        <xdr:cNvSpPr txBox="1"/>
      </xdr:nvSpPr>
      <xdr:spPr>
        <a:xfrm>
          <a:off x="1916206" y="7243578"/>
          <a:ext cx="741100" cy="589472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567D1DB7-9058-644F-A9E1-0228AEA8AA73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32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631085</xdr:colOff>
      <xdr:row>26</xdr:row>
      <xdr:rowOff>88123</xdr:rowOff>
    </xdr:from>
    <xdr:to>
      <xdr:col>8</xdr:col>
      <xdr:colOff>589240</xdr:colOff>
      <xdr:row>29</xdr:row>
      <xdr:rowOff>115791</xdr:rowOff>
    </xdr:to>
    <xdr:sp macro="" textlink="$R$33">
      <xdr:nvSpPr>
        <xdr:cNvPr id="33" name="ZoneTexte 32">
          <a:extLst>
            <a:ext uri="{FF2B5EF4-FFF2-40B4-BE49-F238E27FC236}">
              <a16:creationId xmlns:a16="http://schemas.microsoft.com/office/drawing/2014/main" id="{A1015408-3BFA-4818-824D-FD67719456AE}"/>
            </a:ext>
          </a:extLst>
        </xdr:cNvPr>
        <xdr:cNvSpPr txBox="1"/>
      </xdr:nvSpPr>
      <xdr:spPr>
        <a:xfrm>
          <a:off x="6714385" y="4901423"/>
          <a:ext cx="720155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D5CA9F-9651-6E4C-9AB2-D0070C88D335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139849</xdr:colOff>
      <xdr:row>24</xdr:row>
      <xdr:rowOff>171740</xdr:rowOff>
    </xdr:from>
    <xdr:to>
      <xdr:col>6</xdr:col>
      <xdr:colOff>92420</xdr:colOff>
      <xdr:row>28</xdr:row>
      <xdr:rowOff>547</xdr:rowOff>
    </xdr:to>
    <xdr:sp macro="" textlink="$R$34">
      <xdr:nvSpPr>
        <xdr:cNvPr id="34" name="ZoneTexte 33">
          <a:extLst>
            <a:ext uri="{FF2B5EF4-FFF2-40B4-BE49-F238E27FC236}">
              <a16:creationId xmlns:a16="http://schemas.microsoft.com/office/drawing/2014/main" id="{AE4FCF3A-9161-464F-B41C-AC43CC69EF20}"/>
            </a:ext>
          </a:extLst>
        </xdr:cNvPr>
        <xdr:cNvSpPr txBox="1"/>
      </xdr:nvSpPr>
      <xdr:spPr>
        <a:xfrm>
          <a:off x="4699149" y="4616740"/>
          <a:ext cx="714571" cy="565407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DABFF52-D1E6-8240-ADBD-9D12B228E9A6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1221345</xdr:colOff>
      <xdr:row>26</xdr:row>
      <xdr:rowOff>30065</xdr:rowOff>
    </xdr:from>
    <xdr:to>
      <xdr:col>3</xdr:col>
      <xdr:colOff>348058</xdr:colOff>
      <xdr:row>29</xdr:row>
      <xdr:rowOff>57733</xdr:rowOff>
    </xdr:to>
    <xdr:sp macro="" textlink="$R$35">
      <xdr:nvSpPr>
        <xdr:cNvPr id="35" name="ZoneTexte 34">
          <a:extLst>
            <a:ext uri="{FF2B5EF4-FFF2-40B4-BE49-F238E27FC236}">
              <a16:creationId xmlns:a16="http://schemas.microsoft.com/office/drawing/2014/main" id="{12D709E8-0FD7-432D-BE7F-5FE51DE3987B}"/>
            </a:ext>
          </a:extLst>
        </xdr:cNvPr>
        <xdr:cNvSpPr txBox="1"/>
      </xdr:nvSpPr>
      <xdr:spPr>
        <a:xfrm>
          <a:off x="2745345" y="4843365"/>
          <a:ext cx="638013" cy="580118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3D2B81B-B717-AA48-8F8A-A7D1CA3AACCD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40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4604</xdr:colOff>
      <xdr:row>47</xdr:row>
      <xdr:rowOff>51732</xdr:rowOff>
    </xdr:from>
    <xdr:to>
      <xdr:col>4</xdr:col>
      <xdr:colOff>742227</xdr:colOff>
      <xdr:row>50</xdr:row>
      <xdr:rowOff>70441</xdr:rowOff>
    </xdr:to>
    <xdr:sp macro="" textlink="$R$36">
      <xdr:nvSpPr>
        <xdr:cNvPr id="36" name="ZoneTexte 35">
          <a:extLst>
            <a:ext uri="{FF2B5EF4-FFF2-40B4-BE49-F238E27FC236}">
              <a16:creationId xmlns:a16="http://schemas.microsoft.com/office/drawing/2014/main" id="{C208ED0E-31A1-428B-8DE3-6A3F5C31E377}"/>
            </a:ext>
          </a:extLst>
        </xdr:cNvPr>
        <xdr:cNvSpPr txBox="1"/>
      </xdr:nvSpPr>
      <xdr:spPr>
        <a:xfrm>
          <a:off x="3801904" y="8763932"/>
          <a:ext cx="737623" cy="571159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1765D99-730B-054B-AA21-D243F12ABD00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0,0%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59399</xdr:colOff>
      <xdr:row>47</xdr:row>
      <xdr:rowOff>72249</xdr:rowOff>
    </xdr:from>
    <xdr:to>
      <xdr:col>7</xdr:col>
      <xdr:colOff>816933</xdr:colOff>
      <xdr:row>50</xdr:row>
      <xdr:rowOff>83140</xdr:rowOff>
    </xdr:to>
    <xdr:sp macro="" textlink="$R$37">
      <xdr:nvSpPr>
        <xdr:cNvPr id="37" name="ZoneTexte 36">
          <a:extLst>
            <a:ext uri="{FF2B5EF4-FFF2-40B4-BE49-F238E27FC236}">
              <a16:creationId xmlns:a16="http://schemas.microsoft.com/office/drawing/2014/main" id="{94814FE3-1822-47A3-ADCE-A5F08E65D599}"/>
            </a:ext>
          </a:extLst>
        </xdr:cNvPr>
        <xdr:cNvSpPr txBox="1"/>
      </xdr:nvSpPr>
      <xdr:spPr>
        <a:xfrm>
          <a:off x="6142699" y="8784449"/>
          <a:ext cx="700384" cy="5633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94FD6C-2D57-434A-B183-1345A0048DBA}" type="TxLink">
            <a:rPr lang="en-US" sz="11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66,7%</a:t>
          </a:fld>
          <a:endParaRPr lang="fr-FR" sz="54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1503728</xdr:colOff>
      <xdr:row>46</xdr:row>
      <xdr:rowOff>172732</xdr:rowOff>
    </xdr:from>
    <xdr:to>
      <xdr:col>4</xdr:col>
      <xdr:colOff>163145</xdr:colOff>
      <xdr:row>50</xdr:row>
      <xdr:rowOff>131417</xdr:rowOff>
    </xdr:to>
    <xdr:sp macro="" textlink="">
      <xdr:nvSpPr>
        <xdr:cNvPr id="38" name="ZoneTexte 37">
          <a:extLst>
            <a:ext uri="{FF2B5EF4-FFF2-40B4-BE49-F238E27FC236}">
              <a16:creationId xmlns:a16="http://schemas.microsoft.com/office/drawing/2014/main" id="{06FFB079-2B6B-4EA0-A6A6-98C3B3729836}"/>
            </a:ext>
          </a:extLst>
        </xdr:cNvPr>
        <xdr:cNvSpPr txBox="1"/>
      </xdr:nvSpPr>
      <xdr:spPr>
        <a:xfrm>
          <a:off x="3027728" y="8700782"/>
          <a:ext cx="932717" cy="695285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BUT VIDE</a:t>
          </a:r>
        </a:p>
      </xdr:txBody>
    </xdr:sp>
    <xdr:clientData/>
  </xdr:twoCellAnchor>
  <xdr:twoCellAnchor>
    <xdr:from>
      <xdr:col>6</xdr:col>
      <xdr:colOff>94980</xdr:colOff>
      <xdr:row>47</xdr:row>
      <xdr:rowOff>5119</xdr:rowOff>
    </xdr:from>
    <xdr:to>
      <xdr:col>7</xdr:col>
      <xdr:colOff>203425</xdr:colOff>
      <xdr:row>50</xdr:row>
      <xdr:rowOff>147665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4A039F4B-90CF-42A6-9EA6-FCA5CC017CDE}"/>
            </a:ext>
          </a:extLst>
        </xdr:cNvPr>
        <xdr:cNvSpPr txBox="1"/>
      </xdr:nvSpPr>
      <xdr:spPr>
        <a:xfrm>
          <a:off x="5416280" y="8717319"/>
          <a:ext cx="870445" cy="694996"/>
        </a:xfrm>
        <a:prstGeom prst="ellipse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cs typeface="Calibri"/>
            </a:rPr>
            <a:t>CA MB</a:t>
          </a:r>
        </a:p>
      </xdr:txBody>
    </xdr:sp>
    <xdr:clientData/>
  </xdr:twoCellAnchor>
  <xdr:twoCellAnchor editAs="oneCell">
    <xdr:from>
      <xdr:col>1</xdr:col>
      <xdr:colOff>63500</xdr:colOff>
      <xdr:row>1</xdr:row>
      <xdr:rowOff>177801</xdr:rowOff>
    </xdr:from>
    <xdr:to>
      <xdr:col>2</xdr:col>
      <xdr:colOff>1219200</xdr:colOff>
      <xdr:row>13</xdr:row>
      <xdr:rowOff>87992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626FDD87-9049-4970-BBF1-51819B0C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361951"/>
          <a:ext cx="1917700" cy="2126341"/>
        </a:xfrm>
        <a:prstGeom prst="rect">
          <a:avLst/>
        </a:prstGeom>
      </xdr:spPr>
    </xdr:pic>
    <xdr:clientData/>
  </xdr:twoCellAnchor>
  <xdr:twoCellAnchor>
    <xdr:from>
      <xdr:col>8</xdr:col>
      <xdr:colOff>487680</xdr:colOff>
      <xdr:row>39</xdr:row>
      <xdr:rowOff>58420</xdr:rowOff>
    </xdr:from>
    <xdr:to>
      <xdr:col>8</xdr:col>
      <xdr:colOff>767080</xdr:colOff>
      <xdr:row>40</xdr:row>
      <xdr:rowOff>137160</xdr:rowOff>
    </xdr:to>
    <xdr:sp macro="" textlink="$R$4">
      <xdr:nvSpPr>
        <xdr:cNvPr id="41" name="Décagone 40">
          <a:extLst>
            <a:ext uri="{FF2B5EF4-FFF2-40B4-BE49-F238E27FC236}">
              <a16:creationId xmlns:a16="http://schemas.microsoft.com/office/drawing/2014/main" id="{09560862-9296-420E-B1EB-FBF72EE97441}"/>
            </a:ext>
          </a:extLst>
        </xdr:cNvPr>
        <xdr:cNvSpPr/>
      </xdr:nvSpPr>
      <xdr:spPr>
        <a:xfrm>
          <a:off x="7332980" y="7278370"/>
          <a:ext cx="2730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B7705C12-65E6-8544-BC4A-7C7850944006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1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756920</xdr:colOff>
      <xdr:row>35</xdr:row>
      <xdr:rowOff>114300</xdr:rowOff>
    </xdr:from>
    <xdr:to>
      <xdr:col>8</xdr:col>
      <xdr:colOff>208280</xdr:colOff>
      <xdr:row>36</xdr:row>
      <xdr:rowOff>193040</xdr:rowOff>
    </xdr:to>
    <xdr:sp macro="" textlink="$R$5">
      <xdr:nvSpPr>
        <xdr:cNvPr id="42" name="Décagone 41">
          <a:extLst>
            <a:ext uri="{FF2B5EF4-FFF2-40B4-BE49-F238E27FC236}">
              <a16:creationId xmlns:a16="http://schemas.microsoft.com/office/drawing/2014/main" id="{FB9322E7-8D15-43B0-9954-B2AE206B0D17}"/>
            </a:ext>
          </a:extLst>
        </xdr:cNvPr>
        <xdr:cNvSpPr/>
      </xdr:nvSpPr>
      <xdr:spPr>
        <a:xfrm>
          <a:off x="6840220" y="6591300"/>
          <a:ext cx="21336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EB066B0-C154-EC4B-8257-CDA5EFF12E9C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721360</xdr:colOff>
      <xdr:row>32</xdr:row>
      <xdr:rowOff>172720</xdr:rowOff>
    </xdr:from>
    <xdr:to>
      <xdr:col>7</xdr:col>
      <xdr:colOff>172720</xdr:colOff>
      <xdr:row>34</xdr:row>
      <xdr:rowOff>63500</xdr:rowOff>
    </xdr:to>
    <xdr:sp macro="" textlink="$R$6">
      <xdr:nvSpPr>
        <xdr:cNvPr id="43" name="Décagone 42">
          <a:extLst>
            <a:ext uri="{FF2B5EF4-FFF2-40B4-BE49-F238E27FC236}">
              <a16:creationId xmlns:a16="http://schemas.microsoft.com/office/drawing/2014/main" id="{916D944D-AD85-4836-9AC4-88F819729F81}"/>
            </a:ext>
          </a:extLst>
        </xdr:cNvPr>
        <xdr:cNvSpPr/>
      </xdr:nvSpPr>
      <xdr:spPr>
        <a:xfrm>
          <a:off x="6042660" y="6090920"/>
          <a:ext cx="21336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0391890-1656-8D41-AFCD-7D9CFD07284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0</xdr:colOff>
      <xdr:row>32</xdr:row>
      <xdr:rowOff>5080</xdr:rowOff>
    </xdr:from>
    <xdr:to>
      <xdr:col>5</xdr:col>
      <xdr:colOff>279400</xdr:colOff>
      <xdr:row>33</xdr:row>
      <xdr:rowOff>86360</xdr:rowOff>
    </xdr:to>
    <xdr:sp macro="" textlink="$R$7">
      <xdr:nvSpPr>
        <xdr:cNvPr id="44" name="Décagone 43">
          <a:extLst>
            <a:ext uri="{FF2B5EF4-FFF2-40B4-BE49-F238E27FC236}">
              <a16:creationId xmlns:a16="http://schemas.microsoft.com/office/drawing/2014/main" id="{80040F40-9416-41E7-9A9F-0A0F364B7E68}"/>
            </a:ext>
          </a:extLst>
        </xdr:cNvPr>
        <xdr:cNvSpPr/>
      </xdr:nvSpPr>
      <xdr:spPr>
        <a:xfrm>
          <a:off x="4559300" y="592328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1ED7C2B7-D14F-2340-A3D4-CA9A581AF2F1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17780</xdr:colOff>
      <xdr:row>33</xdr:row>
      <xdr:rowOff>7620</xdr:rowOff>
    </xdr:from>
    <xdr:to>
      <xdr:col>3</xdr:col>
      <xdr:colOff>297180</xdr:colOff>
      <xdr:row>34</xdr:row>
      <xdr:rowOff>88900</xdr:rowOff>
    </xdr:to>
    <xdr:sp macro="" textlink="$R$8">
      <xdr:nvSpPr>
        <xdr:cNvPr id="45" name="Décagone 44">
          <a:extLst>
            <a:ext uri="{FF2B5EF4-FFF2-40B4-BE49-F238E27FC236}">
              <a16:creationId xmlns:a16="http://schemas.microsoft.com/office/drawing/2014/main" id="{44EA344E-D479-48AB-8C7A-78BFD0033BE9}"/>
            </a:ext>
          </a:extLst>
        </xdr:cNvPr>
        <xdr:cNvSpPr/>
      </xdr:nvSpPr>
      <xdr:spPr>
        <a:xfrm>
          <a:off x="3053080" y="6109970"/>
          <a:ext cx="279400" cy="26543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3A13068C-65D7-2C4D-A1A4-04D5A65EE79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800100</xdr:colOff>
      <xdr:row>35</xdr:row>
      <xdr:rowOff>114300</xdr:rowOff>
    </xdr:from>
    <xdr:to>
      <xdr:col>2</xdr:col>
      <xdr:colOff>1079500</xdr:colOff>
      <xdr:row>36</xdr:row>
      <xdr:rowOff>193040</xdr:rowOff>
    </xdr:to>
    <xdr:sp macro="" textlink="$R$9">
      <xdr:nvSpPr>
        <xdr:cNvPr id="46" name="Décagone 45">
          <a:extLst>
            <a:ext uri="{FF2B5EF4-FFF2-40B4-BE49-F238E27FC236}">
              <a16:creationId xmlns:a16="http://schemas.microsoft.com/office/drawing/2014/main" id="{D54B63E4-F93B-4403-A4AA-507689F84715}"/>
            </a:ext>
          </a:extLst>
        </xdr:cNvPr>
        <xdr:cNvSpPr/>
      </xdr:nvSpPr>
      <xdr:spPr>
        <a:xfrm>
          <a:off x="2324100" y="659130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E8CF551-B40A-6044-BCA1-32355E205693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304800</xdr:colOff>
      <xdr:row>39</xdr:row>
      <xdr:rowOff>58420</xdr:rowOff>
    </xdr:from>
    <xdr:to>
      <xdr:col>2</xdr:col>
      <xdr:colOff>584200</xdr:colOff>
      <xdr:row>40</xdr:row>
      <xdr:rowOff>137160</xdr:rowOff>
    </xdr:to>
    <xdr:sp macro="" textlink="$R$10">
      <xdr:nvSpPr>
        <xdr:cNvPr id="47" name="Décagone 46">
          <a:extLst>
            <a:ext uri="{FF2B5EF4-FFF2-40B4-BE49-F238E27FC236}">
              <a16:creationId xmlns:a16="http://schemas.microsoft.com/office/drawing/2014/main" id="{79CF8FDE-4D1F-47B1-807B-C5289C1A2071}"/>
            </a:ext>
          </a:extLst>
        </xdr:cNvPr>
        <xdr:cNvSpPr/>
      </xdr:nvSpPr>
      <xdr:spPr>
        <a:xfrm>
          <a:off x="1828800" y="727837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FA3DE483-9C94-5D4F-AFBE-53206E404200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1435100</xdr:colOff>
      <xdr:row>29</xdr:row>
      <xdr:rowOff>139700</xdr:rowOff>
    </xdr:from>
    <xdr:to>
      <xdr:col>3</xdr:col>
      <xdr:colOff>68580</xdr:colOff>
      <xdr:row>31</xdr:row>
      <xdr:rowOff>27940</xdr:rowOff>
    </xdr:to>
    <xdr:sp macro="" textlink="$R$13">
      <xdr:nvSpPr>
        <xdr:cNvPr id="48" name="Décagone 47">
          <a:extLst>
            <a:ext uri="{FF2B5EF4-FFF2-40B4-BE49-F238E27FC236}">
              <a16:creationId xmlns:a16="http://schemas.microsoft.com/office/drawing/2014/main" id="{85CAB8F5-052E-4712-8B24-CA154D95721E}"/>
            </a:ext>
          </a:extLst>
        </xdr:cNvPr>
        <xdr:cNvSpPr/>
      </xdr:nvSpPr>
      <xdr:spPr>
        <a:xfrm>
          <a:off x="2959100" y="5505450"/>
          <a:ext cx="14478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F0DBB12-7EEE-DE4E-867A-F796A82634C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2</xdr:col>
      <xdr:colOff>1130300</xdr:colOff>
      <xdr:row>26</xdr:row>
      <xdr:rowOff>43180</xdr:rowOff>
    </xdr:from>
    <xdr:to>
      <xdr:col>2</xdr:col>
      <xdr:colOff>1409700</xdr:colOff>
      <xdr:row>27</xdr:row>
      <xdr:rowOff>121920</xdr:rowOff>
    </xdr:to>
    <xdr:sp macro="" textlink="$R$16">
      <xdr:nvSpPr>
        <xdr:cNvPr id="49" name="Décagone 48">
          <a:extLst>
            <a:ext uri="{FF2B5EF4-FFF2-40B4-BE49-F238E27FC236}">
              <a16:creationId xmlns:a16="http://schemas.microsoft.com/office/drawing/2014/main" id="{ED635E01-B8EA-4C7B-9984-56630B009223}"/>
            </a:ext>
          </a:extLst>
        </xdr:cNvPr>
        <xdr:cNvSpPr/>
      </xdr:nvSpPr>
      <xdr:spPr>
        <a:xfrm>
          <a:off x="2654300" y="4856480"/>
          <a:ext cx="2794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8B5737A9-A38A-2649-8585-07F4E7E7CBB9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5</xdr:col>
      <xdr:colOff>12700</xdr:colOff>
      <xdr:row>24</xdr:row>
      <xdr:rowOff>165100</xdr:rowOff>
    </xdr:from>
    <xdr:to>
      <xdr:col>5</xdr:col>
      <xdr:colOff>292100</xdr:colOff>
      <xdr:row>26</xdr:row>
      <xdr:rowOff>55880</xdr:rowOff>
    </xdr:to>
    <xdr:sp macro="" textlink="$R$15">
      <xdr:nvSpPr>
        <xdr:cNvPr id="50" name="Décagone 49">
          <a:extLst>
            <a:ext uri="{FF2B5EF4-FFF2-40B4-BE49-F238E27FC236}">
              <a16:creationId xmlns:a16="http://schemas.microsoft.com/office/drawing/2014/main" id="{1A8A09B1-70F7-41F9-B4E5-A7654D66C6AD}"/>
            </a:ext>
          </a:extLst>
        </xdr:cNvPr>
        <xdr:cNvSpPr/>
      </xdr:nvSpPr>
      <xdr:spPr>
        <a:xfrm>
          <a:off x="4572000" y="4610100"/>
          <a:ext cx="279400" cy="25908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E93A4B1-6ABC-9C4E-A50C-3D2969C2E5ED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528320</xdr:colOff>
      <xdr:row>26</xdr:row>
      <xdr:rowOff>93980</xdr:rowOff>
    </xdr:from>
    <xdr:to>
      <xdr:col>7</xdr:col>
      <xdr:colOff>805180</xdr:colOff>
      <xdr:row>27</xdr:row>
      <xdr:rowOff>172720</xdr:rowOff>
    </xdr:to>
    <xdr:sp macro="" textlink="$R$14">
      <xdr:nvSpPr>
        <xdr:cNvPr id="51" name="Décagone 50">
          <a:extLst>
            <a:ext uri="{FF2B5EF4-FFF2-40B4-BE49-F238E27FC236}">
              <a16:creationId xmlns:a16="http://schemas.microsoft.com/office/drawing/2014/main" id="{5B8E7B55-5D3C-40BD-AD05-72C3DBD3E420}"/>
            </a:ext>
          </a:extLst>
        </xdr:cNvPr>
        <xdr:cNvSpPr/>
      </xdr:nvSpPr>
      <xdr:spPr>
        <a:xfrm>
          <a:off x="6611620" y="4907280"/>
          <a:ext cx="23241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9267F869-B069-F145-A3C3-A547F0D8D99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7</xdr:col>
      <xdr:colOff>236220</xdr:colOff>
      <xdr:row>29</xdr:row>
      <xdr:rowOff>114300</xdr:rowOff>
    </xdr:from>
    <xdr:to>
      <xdr:col>7</xdr:col>
      <xdr:colOff>515620</xdr:colOff>
      <xdr:row>31</xdr:row>
      <xdr:rowOff>2540</xdr:rowOff>
    </xdr:to>
    <xdr:sp macro="" textlink="$R$12">
      <xdr:nvSpPr>
        <xdr:cNvPr id="52" name="Décagone 51">
          <a:extLst>
            <a:ext uri="{FF2B5EF4-FFF2-40B4-BE49-F238E27FC236}">
              <a16:creationId xmlns:a16="http://schemas.microsoft.com/office/drawing/2014/main" id="{22B881FD-C2F1-46DE-AEB8-9A2E40E118A0}"/>
            </a:ext>
          </a:extLst>
        </xdr:cNvPr>
        <xdr:cNvSpPr/>
      </xdr:nvSpPr>
      <xdr:spPr>
        <a:xfrm>
          <a:off x="6319520" y="5480050"/>
          <a:ext cx="2794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4DEF6FF3-CF81-214B-8DEA-3A8AE7DCF48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4</xdr:col>
      <xdr:colOff>800100</xdr:colOff>
      <xdr:row>28</xdr:row>
      <xdr:rowOff>73660</xdr:rowOff>
    </xdr:from>
    <xdr:to>
      <xdr:col>5</xdr:col>
      <xdr:colOff>254000</xdr:colOff>
      <xdr:row>29</xdr:row>
      <xdr:rowOff>152400</xdr:rowOff>
    </xdr:to>
    <xdr:sp macro="" textlink="$R$11">
      <xdr:nvSpPr>
        <xdr:cNvPr id="53" name="Décagone 52">
          <a:extLst>
            <a:ext uri="{FF2B5EF4-FFF2-40B4-BE49-F238E27FC236}">
              <a16:creationId xmlns:a16="http://schemas.microsoft.com/office/drawing/2014/main" id="{8B29A783-CA27-4B77-85EB-6AE5C3D31D4B}"/>
            </a:ext>
          </a:extLst>
        </xdr:cNvPr>
        <xdr:cNvSpPr/>
      </xdr:nvSpPr>
      <xdr:spPr>
        <a:xfrm>
          <a:off x="4559300" y="5255260"/>
          <a:ext cx="2540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5473F7E-EBD9-3B4B-8788-DFEEBE7FE4A4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9</xdr:col>
      <xdr:colOff>721360</xdr:colOff>
      <xdr:row>25</xdr:row>
      <xdr:rowOff>127000</xdr:rowOff>
    </xdr:from>
    <xdr:to>
      <xdr:col>10</xdr:col>
      <xdr:colOff>175260</xdr:colOff>
      <xdr:row>27</xdr:row>
      <xdr:rowOff>15240</xdr:rowOff>
    </xdr:to>
    <xdr:sp macro="" textlink="">
      <xdr:nvSpPr>
        <xdr:cNvPr id="54" name="Décagone 53">
          <a:extLst>
            <a:ext uri="{FF2B5EF4-FFF2-40B4-BE49-F238E27FC236}">
              <a16:creationId xmlns:a16="http://schemas.microsoft.com/office/drawing/2014/main" id="{D361FF0E-519E-4548-92D0-1F5446C47A60}"/>
            </a:ext>
          </a:extLst>
        </xdr:cNvPr>
        <xdr:cNvSpPr/>
      </xdr:nvSpPr>
      <xdr:spPr>
        <a:xfrm>
          <a:off x="8328660" y="4756150"/>
          <a:ext cx="215900" cy="25654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 b="0" i="0" u="none" strike="noStrike">
            <a:solidFill>
              <a:srgbClr val="000000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660400</xdr:colOff>
      <xdr:row>21</xdr:row>
      <xdr:rowOff>190500</xdr:rowOff>
    </xdr:from>
    <xdr:to>
      <xdr:col>10</xdr:col>
      <xdr:colOff>268261</xdr:colOff>
      <xdr:row>23</xdr:row>
      <xdr:rowOff>108091</xdr:rowOff>
    </xdr:to>
    <xdr:sp macro="" textlink="">
      <xdr:nvSpPr>
        <xdr:cNvPr id="55" name="ZoneTexte 54">
          <a:extLst>
            <a:ext uri="{FF2B5EF4-FFF2-40B4-BE49-F238E27FC236}">
              <a16:creationId xmlns:a16="http://schemas.microsoft.com/office/drawing/2014/main" id="{3B8C5966-D61D-49B6-87CD-F4894EC0CD8F}"/>
            </a:ext>
          </a:extLst>
        </xdr:cNvPr>
        <xdr:cNvSpPr txBox="1"/>
      </xdr:nvSpPr>
      <xdr:spPr>
        <a:xfrm>
          <a:off x="8267700" y="4076700"/>
          <a:ext cx="369861" cy="292241"/>
        </a:xfrm>
        <a:prstGeom prst="ellipse">
          <a:avLst/>
        </a:prstGeom>
        <a:solidFill>
          <a:srgbClr val="9F234C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100" b="0" i="0" u="none" strike="noStrike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Calibri"/>
            <a:cs typeface="Calibri"/>
          </a:endParaRPr>
        </a:p>
      </xdr:txBody>
    </xdr:sp>
    <xdr:clientData/>
  </xdr:twoCellAnchor>
  <xdr:twoCellAnchor>
    <xdr:from>
      <xdr:col>9</xdr:col>
      <xdr:colOff>670223</xdr:colOff>
      <xdr:row>23</xdr:row>
      <xdr:rowOff>167040</xdr:rowOff>
    </xdr:from>
    <xdr:to>
      <xdr:col>10</xdr:col>
      <xdr:colOff>306361</xdr:colOff>
      <xdr:row>25</xdr:row>
      <xdr:rowOff>36971</xdr:rowOff>
    </xdr:to>
    <xdr:sp macro="" textlink="$R$56">
      <xdr:nvSpPr>
        <xdr:cNvPr id="56" name="ZoneTexte 55">
          <a:extLst>
            <a:ext uri="{FF2B5EF4-FFF2-40B4-BE49-F238E27FC236}">
              <a16:creationId xmlns:a16="http://schemas.microsoft.com/office/drawing/2014/main" id="{E41633E8-ECC6-44DA-BC44-795868F67DC6}"/>
            </a:ext>
          </a:extLst>
        </xdr:cNvPr>
        <xdr:cNvSpPr txBox="1"/>
      </xdr:nvSpPr>
      <xdr:spPr>
        <a:xfrm>
          <a:off x="8277523" y="4427890"/>
          <a:ext cx="398138" cy="238231"/>
        </a:xfrm>
        <a:prstGeom prst="homePlate">
          <a:avLst/>
        </a:prstGeom>
        <a:solidFill>
          <a:srgbClr val="254878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endParaRPr lang="fr-FR" sz="1100" b="1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6</xdr:col>
      <xdr:colOff>809093</xdr:colOff>
      <xdr:row>47</xdr:row>
      <xdr:rowOff>100056</xdr:rowOff>
    </xdr:from>
    <xdr:to>
      <xdr:col>7</xdr:col>
      <xdr:colOff>262993</xdr:colOff>
      <xdr:row>48</xdr:row>
      <xdr:rowOff>178796</xdr:rowOff>
    </xdr:to>
    <xdr:sp macro="" textlink="$R$18">
      <xdr:nvSpPr>
        <xdr:cNvPr id="57" name="Décagone 56">
          <a:extLst>
            <a:ext uri="{FF2B5EF4-FFF2-40B4-BE49-F238E27FC236}">
              <a16:creationId xmlns:a16="http://schemas.microsoft.com/office/drawing/2014/main" id="{20364B51-627F-4388-A5A0-198522FD0D58}"/>
            </a:ext>
          </a:extLst>
        </xdr:cNvPr>
        <xdr:cNvSpPr/>
      </xdr:nvSpPr>
      <xdr:spPr>
        <a:xfrm>
          <a:off x="6085943" y="8812256"/>
          <a:ext cx="26035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E85B948-0ADB-9245-9A3F-94DE83078752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2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3</xdr:col>
      <xdr:colOff>715113</xdr:colOff>
      <xdr:row>47</xdr:row>
      <xdr:rowOff>100056</xdr:rowOff>
    </xdr:from>
    <xdr:to>
      <xdr:col>4</xdr:col>
      <xdr:colOff>169013</xdr:colOff>
      <xdr:row>48</xdr:row>
      <xdr:rowOff>178796</xdr:rowOff>
    </xdr:to>
    <xdr:sp macro="" textlink="$R$17">
      <xdr:nvSpPr>
        <xdr:cNvPr id="58" name="Décagone 57">
          <a:extLst>
            <a:ext uri="{FF2B5EF4-FFF2-40B4-BE49-F238E27FC236}">
              <a16:creationId xmlns:a16="http://schemas.microsoft.com/office/drawing/2014/main" id="{6A8E4177-A5B5-4D3D-A51B-8BC17E1ED37B}"/>
            </a:ext>
          </a:extLst>
        </xdr:cNvPr>
        <xdr:cNvSpPr/>
      </xdr:nvSpPr>
      <xdr:spPr>
        <a:xfrm>
          <a:off x="3750413" y="8812256"/>
          <a:ext cx="215900" cy="262890"/>
        </a:xfrm>
        <a:prstGeom prst="decagon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5DA2C180-E140-8F42-88D6-7743F5A4478B}" type="TxLink">
            <a:rPr lang="en-US" sz="1100" b="0" i="0" u="none" strike="noStrike">
              <a:solidFill>
                <a:srgbClr val="000000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Calibri"/>
              <a:ea typeface="Calibri"/>
              <a:cs typeface="Calibri"/>
            </a:rPr>
            <a:pPr algn="ctr"/>
            <a:t>0</a:t>
          </a:fld>
          <a:endParaRPr lang="fr-FR" sz="1100"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a:endParaRPr>
        </a:p>
      </xdr:txBody>
    </xdr:sp>
    <xdr:clientData/>
  </xdr:twoCellAnchor>
  <xdr:twoCellAnchor>
    <xdr:from>
      <xdr:col>10</xdr:col>
      <xdr:colOff>330200</xdr:colOff>
      <xdr:row>22</xdr:row>
      <xdr:rowOff>25400</xdr:rowOff>
    </xdr:from>
    <xdr:to>
      <xdr:col>11</xdr:col>
      <xdr:colOff>120571</xdr:colOff>
      <xdr:row>23</xdr:row>
      <xdr:rowOff>132802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33646A6C-7D05-422D-900C-53C5437F75CA}"/>
            </a:ext>
          </a:extLst>
        </xdr:cNvPr>
        <xdr:cNvSpPr txBox="1"/>
      </xdr:nvSpPr>
      <xdr:spPr>
        <a:xfrm>
          <a:off x="8699500" y="4102100"/>
          <a:ext cx="552371" cy="2915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tirs</a:t>
          </a:r>
        </a:p>
      </xdr:txBody>
    </xdr:sp>
    <xdr:clientData/>
  </xdr:twoCellAnchor>
  <xdr:twoCellAnchor>
    <xdr:from>
      <xdr:col>10</xdr:col>
      <xdr:colOff>330200</xdr:colOff>
      <xdr:row>23</xdr:row>
      <xdr:rowOff>175447</xdr:rowOff>
    </xdr:from>
    <xdr:to>
      <xdr:col>11</xdr:col>
      <xdr:colOff>512546</xdr:colOff>
      <xdr:row>25</xdr:row>
      <xdr:rowOff>112418</xdr:rowOff>
    </xdr:to>
    <xdr:sp macro="" textlink="">
      <xdr:nvSpPr>
        <xdr:cNvPr id="60" name="ZoneTexte 59">
          <a:extLst>
            <a:ext uri="{FF2B5EF4-FFF2-40B4-BE49-F238E27FC236}">
              <a16:creationId xmlns:a16="http://schemas.microsoft.com/office/drawing/2014/main" id="{9F52A16D-7506-4632-AD7C-1D0AD36700BE}"/>
            </a:ext>
          </a:extLst>
        </xdr:cNvPr>
        <xdr:cNvSpPr txBox="1"/>
      </xdr:nvSpPr>
      <xdr:spPr>
        <a:xfrm>
          <a:off x="8699500" y="4436297"/>
          <a:ext cx="944346" cy="3052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% efficacité</a:t>
          </a:r>
        </a:p>
      </xdr:txBody>
    </xdr:sp>
    <xdr:clientData/>
  </xdr:twoCellAnchor>
  <xdr:twoCellAnchor>
    <xdr:from>
      <xdr:col>10</xdr:col>
      <xdr:colOff>330200</xdr:colOff>
      <xdr:row>25</xdr:row>
      <xdr:rowOff>139386</xdr:rowOff>
    </xdr:from>
    <xdr:to>
      <xdr:col>11</xdr:col>
      <xdr:colOff>434151</xdr:colOff>
      <xdr:row>27</xdr:row>
      <xdr:rowOff>92036</xdr:rowOff>
    </xdr:to>
    <xdr:sp macro="" textlink="">
      <xdr:nvSpPr>
        <xdr:cNvPr id="61" name="ZoneTexte 60">
          <a:extLst>
            <a:ext uri="{FF2B5EF4-FFF2-40B4-BE49-F238E27FC236}">
              <a16:creationId xmlns:a16="http://schemas.microsoft.com/office/drawing/2014/main" id="{8CAD75DB-84BE-4526-84FF-676EB41A6E8A}"/>
            </a:ext>
          </a:extLst>
        </xdr:cNvPr>
        <xdr:cNvSpPr txBox="1"/>
      </xdr:nvSpPr>
      <xdr:spPr>
        <a:xfrm>
          <a:off x="8699500" y="4768536"/>
          <a:ext cx="865951" cy="320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 b="1">
              <a:solidFill>
                <a:schemeClr val="bg1"/>
              </a:solidFill>
            </a:rPr>
            <a:t>Nmbre tirs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julie\Desktop\Fichier%20stat%20vierge%2025%2026%20Version%20thomas.xlsx" TargetMode="External"/><Relationship Id="rId1" Type="http://schemas.openxmlformats.org/officeDocument/2006/relationships/externalLinkPath" Target="Fichier%20stat%20vierge%2025%2026%20Version%20thoma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Haby_Sall"/>
      <sheetName val="Orane_Vivant"/>
      <sheetName val="Léa_Gary"/>
      <sheetName val="Laura-Lyne_Lombindo"/>
      <sheetName val="Ingrid_Ngongang"/>
      <sheetName val="Phellys_Kibuey"/>
      <sheetName val="Kimberley_Rutil"/>
      <sheetName val="Syriane_Adon"/>
      <sheetName val="Naémi_Ardouin"/>
      <sheetName val="Mathilde_Mélique"/>
      <sheetName val="Maelys_Kouaya"/>
      <sheetName val="Maelle_Chalmendrier"/>
      <sheetName val="Léa Ballureau"/>
      <sheetName val="Julie_Sias"/>
      <sheetName val="Inès_Godet"/>
      <sheetName val="Hana_Kvasova"/>
      <sheetName val="Camille_Tourigny"/>
      <sheetName val="Alix_Tignon"/>
      <sheetName val="Justicia_Toubissa"/>
      <sheetName val="Stats bruts Amical 1 HAC SAMBRE"/>
      <sheetName val="Données brutes"/>
      <sheetName val="Stats générales"/>
      <sheetName val="Image Stats générales"/>
      <sheetName val="Matchs joués"/>
      <sheetName val="Temps de jeu"/>
      <sheetName val="Efficacité par enclenchement"/>
      <sheetName val="Duel tireur GB joueuse"/>
      <sheetName val="Analyse GB"/>
      <sheetName val="L'activité défensive"/>
      <sheetName val="Les pertes de balle"/>
      <sheetName val="Les passes D la création et 7m "/>
      <sheetName val="Note des joueur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>
        <row r="3">
          <cell r="K3">
            <v>1</v>
          </cell>
          <cell r="L3">
            <v>0</v>
          </cell>
        </row>
        <row r="4">
          <cell r="K4">
            <v>0</v>
          </cell>
          <cell r="L4" t="e">
            <v>#DIV/0!</v>
          </cell>
        </row>
        <row r="5">
          <cell r="K5">
            <v>0</v>
          </cell>
          <cell r="L5" t="e">
            <v>#DIV/0!</v>
          </cell>
        </row>
        <row r="6">
          <cell r="K6">
            <v>0</v>
          </cell>
          <cell r="L6" t="e">
            <v>#DIV/0!</v>
          </cell>
        </row>
        <row r="7">
          <cell r="K7">
            <v>0</v>
          </cell>
          <cell r="L7" t="e">
            <v>#DIV/0!</v>
          </cell>
        </row>
        <row r="8">
          <cell r="K8">
            <v>0</v>
          </cell>
          <cell r="L8" t="e">
            <v>#DIV/0!</v>
          </cell>
        </row>
        <row r="9">
          <cell r="K9">
            <v>0</v>
          </cell>
          <cell r="L9" t="e">
            <v>#DIV/0!</v>
          </cell>
        </row>
        <row r="10">
          <cell r="K10">
            <v>0</v>
          </cell>
          <cell r="L10" t="e">
            <v>#DIV/0!</v>
          </cell>
        </row>
        <row r="11">
          <cell r="K11">
            <v>0</v>
          </cell>
          <cell r="L11" t="e">
            <v>#DIV/0!</v>
          </cell>
        </row>
        <row r="12">
          <cell r="K12">
            <v>0</v>
          </cell>
          <cell r="L12" t="e">
            <v>#DIV/0!</v>
          </cell>
        </row>
        <row r="13">
          <cell r="K13">
            <v>0</v>
          </cell>
          <cell r="L13" t="e">
            <v>#DIV/0!</v>
          </cell>
        </row>
        <row r="14">
          <cell r="K14">
            <v>0</v>
          </cell>
          <cell r="L14" t="e">
            <v>#DIV/0!</v>
          </cell>
        </row>
        <row r="15">
          <cell r="K15">
            <v>0</v>
          </cell>
          <cell r="L15" t="e">
            <v>#DIV/0!</v>
          </cell>
        </row>
        <row r="16">
          <cell r="K16">
            <v>0</v>
          </cell>
          <cell r="L16" t="e">
            <v>#DIV/0!</v>
          </cell>
        </row>
        <row r="17">
          <cell r="K17">
            <v>0</v>
          </cell>
          <cell r="L17" t="e">
            <v>#DIV/0!</v>
          </cell>
        </row>
        <row r="18">
          <cell r="K18">
            <v>0</v>
          </cell>
          <cell r="L18" t="e">
            <v>#DIV/0!</v>
          </cell>
        </row>
        <row r="19">
          <cell r="K19">
            <v>0</v>
          </cell>
          <cell r="L19" t="e">
            <v>#DIV/0!</v>
          </cell>
        </row>
        <row r="20">
          <cell r="K20">
            <v>2</v>
          </cell>
          <cell r="L20">
            <v>1</v>
          </cell>
        </row>
        <row r="21">
          <cell r="K21">
            <v>3</v>
          </cell>
        </row>
        <row r="27">
          <cell r="K27">
            <v>3</v>
          </cell>
          <cell r="L27">
            <v>0.33333333333333331</v>
          </cell>
        </row>
        <row r="28">
          <cell r="K28">
            <v>0</v>
          </cell>
          <cell r="L28" t="e">
            <v>#DIV/0!</v>
          </cell>
        </row>
        <row r="29">
          <cell r="K29">
            <v>0</v>
          </cell>
          <cell r="L29" t="e">
            <v>#DIV/0!</v>
          </cell>
        </row>
        <row r="30">
          <cell r="K30">
            <v>0</v>
          </cell>
          <cell r="L30" t="e">
            <v>#DIV/0!</v>
          </cell>
        </row>
        <row r="31">
          <cell r="K31">
            <v>0</v>
          </cell>
          <cell r="L31" t="e">
            <v>#DIV/0!</v>
          </cell>
        </row>
        <row r="32">
          <cell r="K32">
            <v>0</v>
          </cell>
          <cell r="L32" t="e">
            <v>#DIV/0!</v>
          </cell>
        </row>
        <row r="33">
          <cell r="K33">
            <v>0</v>
          </cell>
          <cell r="L33" t="e">
            <v>#DIV/0!</v>
          </cell>
        </row>
        <row r="34">
          <cell r="K34">
            <v>0</v>
          </cell>
          <cell r="L34" t="e">
            <v>#DIV/0!</v>
          </cell>
        </row>
        <row r="35">
          <cell r="K35">
            <v>0</v>
          </cell>
          <cell r="L35" t="e">
            <v>#DIV/0!</v>
          </cell>
        </row>
        <row r="36">
          <cell r="K36">
            <v>0</v>
          </cell>
          <cell r="L36" t="e">
            <v>#DIV/0!</v>
          </cell>
        </row>
        <row r="37">
          <cell r="K37">
            <v>0</v>
          </cell>
          <cell r="L37" t="e">
            <v>#DIV/0!</v>
          </cell>
        </row>
        <row r="38">
          <cell r="K38">
            <v>0</v>
          </cell>
          <cell r="L38" t="e">
            <v>#DIV/0!</v>
          </cell>
        </row>
        <row r="39">
          <cell r="K39">
            <v>0</v>
          </cell>
          <cell r="L39" t="e">
            <v>#DIV/0!</v>
          </cell>
        </row>
        <row r="40">
          <cell r="K40">
            <v>0</v>
          </cell>
          <cell r="L40" t="e">
            <v>#DIV/0!</v>
          </cell>
        </row>
        <row r="41">
          <cell r="K41">
            <v>0</v>
          </cell>
          <cell r="L41" t="e">
            <v>#DIV/0!</v>
          </cell>
        </row>
        <row r="42">
          <cell r="K42">
            <v>0</v>
          </cell>
          <cell r="L42" t="e">
            <v>#DIV/0!</v>
          </cell>
        </row>
        <row r="43">
          <cell r="K43">
            <v>0</v>
          </cell>
          <cell r="L43" t="e">
            <v>#DIV/0!</v>
          </cell>
        </row>
        <row r="44">
          <cell r="K44">
            <v>2</v>
          </cell>
          <cell r="L44">
            <v>1</v>
          </cell>
        </row>
        <row r="45">
          <cell r="K45">
            <v>5</v>
          </cell>
        </row>
        <row r="51">
          <cell r="K51">
            <v>0</v>
          </cell>
          <cell r="L51" t="e">
            <v>#DIV/0!</v>
          </cell>
        </row>
        <row r="52">
          <cell r="K52">
            <v>0</v>
          </cell>
          <cell r="L52" t="e">
            <v>#DIV/0!</v>
          </cell>
        </row>
        <row r="53">
          <cell r="K53">
            <v>0</v>
          </cell>
          <cell r="L53" t="e">
            <v>#DIV/0!</v>
          </cell>
        </row>
        <row r="54">
          <cell r="K54">
            <v>0</v>
          </cell>
          <cell r="L54" t="e">
            <v>#DIV/0!</v>
          </cell>
        </row>
        <row r="55">
          <cell r="K55">
            <v>0</v>
          </cell>
          <cell r="L55" t="e">
            <v>#DIV/0!</v>
          </cell>
        </row>
        <row r="56">
          <cell r="K56">
            <v>0</v>
          </cell>
          <cell r="L56" t="e">
            <v>#DIV/0!</v>
          </cell>
        </row>
        <row r="57">
          <cell r="K57">
            <v>3</v>
          </cell>
          <cell r="L57">
            <v>1</v>
          </cell>
        </row>
        <row r="58">
          <cell r="K58">
            <v>0</v>
          </cell>
          <cell r="L58" t="e">
            <v>#DIV/0!</v>
          </cell>
        </row>
        <row r="59">
          <cell r="K59">
            <v>0</v>
          </cell>
          <cell r="L59" t="e">
            <v>#DIV/0!</v>
          </cell>
        </row>
        <row r="60">
          <cell r="K60">
            <v>0</v>
          </cell>
          <cell r="L60" t="e">
            <v>#DIV/0!</v>
          </cell>
        </row>
        <row r="61">
          <cell r="K61">
            <v>0</v>
          </cell>
          <cell r="L61" t="e">
            <v>#DIV/0!</v>
          </cell>
        </row>
        <row r="62">
          <cell r="K62">
            <v>0</v>
          </cell>
          <cell r="L62" t="e">
            <v>#DIV/0!</v>
          </cell>
        </row>
        <row r="63">
          <cell r="K63">
            <v>0</v>
          </cell>
          <cell r="L63" t="e">
            <v>#DIV/0!</v>
          </cell>
        </row>
        <row r="64">
          <cell r="K64">
            <v>0</v>
          </cell>
          <cell r="L64" t="e">
            <v>#DIV/0!</v>
          </cell>
        </row>
        <row r="65">
          <cell r="K65">
            <v>0</v>
          </cell>
          <cell r="L65" t="e">
            <v>#DIV/0!</v>
          </cell>
        </row>
        <row r="66">
          <cell r="K66">
            <v>0</v>
          </cell>
          <cell r="L66" t="e">
            <v>#DIV/0!</v>
          </cell>
        </row>
        <row r="67">
          <cell r="K67">
            <v>0</v>
          </cell>
          <cell r="L67" t="e">
            <v>#DIV/0!</v>
          </cell>
        </row>
        <row r="68">
          <cell r="K68">
            <v>2</v>
          </cell>
          <cell r="L68">
            <v>0.5</v>
          </cell>
        </row>
        <row r="69">
          <cell r="K69">
            <v>5</v>
          </cell>
        </row>
        <row r="76">
          <cell r="K76">
            <v>0</v>
          </cell>
          <cell r="L76" t="e">
            <v>#DIV/0!</v>
          </cell>
        </row>
        <row r="77">
          <cell r="K77">
            <v>0</v>
          </cell>
          <cell r="L77" t="e">
            <v>#DIV/0!</v>
          </cell>
        </row>
        <row r="78">
          <cell r="K78">
            <v>0</v>
          </cell>
          <cell r="L78" t="e">
            <v>#DIV/0!</v>
          </cell>
        </row>
        <row r="79">
          <cell r="K79">
            <v>0</v>
          </cell>
          <cell r="L79" t="e">
            <v>#DIV/0!</v>
          </cell>
        </row>
        <row r="80">
          <cell r="K80">
            <v>0</v>
          </cell>
          <cell r="L80" t="e">
            <v>#DIV/0!</v>
          </cell>
        </row>
        <row r="81">
          <cell r="K81">
            <v>0</v>
          </cell>
          <cell r="L81" t="e">
            <v>#DIV/0!</v>
          </cell>
        </row>
        <row r="82">
          <cell r="K82">
            <v>4</v>
          </cell>
          <cell r="L82">
            <v>0.75</v>
          </cell>
        </row>
        <row r="83">
          <cell r="K83">
            <v>0</v>
          </cell>
          <cell r="L83" t="e">
            <v>#DIV/0!</v>
          </cell>
        </row>
        <row r="84">
          <cell r="K84">
            <v>0</v>
          </cell>
          <cell r="L84" t="e">
            <v>#DIV/0!</v>
          </cell>
        </row>
        <row r="85">
          <cell r="K85">
            <v>0</v>
          </cell>
          <cell r="L85" t="e">
            <v>#DIV/0!</v>
          </cell>
        </row>
        <row r="86">
          <cell r="K86">
            <v>0</v>
          </cell>
          <cell r="L86" t="e">
            <v>#DIV/0!</v>
          </cell>
        </row>
        <row r="87">
          <cell r="K87">
            <v>0</v>
          </cell>
          <cell r="L87" t="e">
            <v>#DIV/0!</v>
          </cell>
        </row>
        <row r="88">
          <cell r="K88">
            <v>0</v>
          </cell>
          <cell r="L88" t="e">
            <v>#DIV/0!</v>
          </cell>
        </row>
        <row r="89">
          <cell r="K89">
            <v>0</v>
          </cell>
          <cell r="L89" t="e">
            <v>#DIV/0!</v>
          </cell>
        </row>
        <row r="90">
          <cell r="K90">
            <v>0</v>
          </cell>
          <cell r="L90" t="e">
            <v>#DIV/0!</v>
          </cell>
        </row>
        <row r="91">
          <cell r="K91">
            <v>0</v>
          </cell>
          <cell r="L91" t="e">
            <v>#DIV/0!</v>
          </cell>
        </row>
        <row r="92">
          <cell r="K92">
            <v>0</v>
          </cell>
          <cell r="L92" t="e">
            <v>#DIV/0!</v>
          </cell>
        </row>
        <row r="93">
          <cell r="K93">
            <v>1</v>
          </cell>
          <cell r="L93">
            <v>0</v>
          </cell>
        </row>
        <row r="94">
          <cell r="K94">
            <v>5</v>
          </cell>
        </row>
        <row r="101">
          <cell r="C101">
            <v>0</v>
          </cell>
          <cell r="D101">
            <v>0</v>
          </cell>
          <cell r="E101">
            <v>0</v>
          </cell>
          <cell r="K101">
            <v>0</v>
          </cell>
        </row>
        <row r="102">
          <cell r="C102">
            <v>0</v>
          </cell>
          <cell r="D102">
            <v>0</v>
          </cell>
          <cell r="E102">
            <v>0</v>
          </cell>
          <cell r="K102">
            <v>0</v>
          </cell>
        </row>
        <row r="103">
          <cell r="C103">
            <v>0</v>
          </cell>
          <cell r="D103">
            <v>0</v>
          </cell>
          <cell r="E103">
            <v>0</v>
          </cell>
          <cell r="K103">
            <v>0</v>
          </cell>
        </row>
        <row r="104">
          <cell r="C104">
            <v>0</v>
          </cell>
          <cell r="D104">
            <v>0</v>
          </cell>
          <cell r="E104">
            <v>0</v>
          </cell>
          <cell r="K104">
            <v>0</v>
          </cell>
        </row>
        <row r="105">
          <cell r="C105">
            <v>0</v>
          </cell>
          <cell r="D105">
            <v>0</v>
          </cell>
          <cell r="E105">
            <v>0</v>
          </cell>
          <cell r="K105">
            <v>0</v>
          </cell>
        </row>
        <row r="106">
          <cell r="C106">
            <v>0</v>
          </cell>
          <cell r="D106">
            <v>0</v>
          </cell>
          <cell r="E106">
            <v>0</v>
          </cell>
          <cell r="K106">
            <v>0</v>
          </cell>
        </row>
        <row r="107">
          <cell r="C107">
            <v>0</v>
          </cell>
          <cell r="D107">
            <v>0</v>
          </cell>
          <cell r="E107">
            <v>0</v>
          </cell>
          <cell r="K107">
            <v>0</v>
          </cell>
        </row>
        <row r="108">
          <cell r="C108">
            <v>0</v>
          </cell>
          <cell r="D108">
            <v>0</v>
          </cell>
          <cell r="E108">
            <v>0</v>
          </cell>
          <cell r="K108">
            <v>0</v>
          </cell>
        </row>
        <row r="109">
          <cell r="C109">
            <v>0</v>
          </cell>
          <cell r="D109">
            <v>0</v>
          </cell>
          <cell r="E109">
            <v>0</v>
          </cell>
          <cell r="K109">
            <v>0</v>
          </cell>
        </row>
        <row r="110">
          <cell r="C110">
            <v>0</v>
          </cell>
          <cell r="D110">
            <v>0</v>
          </cell>
          <cell r="E110">
            <v>0</v>
          </cell>
          <cell r="K110">
            <v>0</v>
          </cell>
        </row>
        <row r="111">
          <cell r="C111">
            <v>0</v>
          </cell>
          <cell r="D111">
            <v>0</v>
          </cell>
          <cell r="E111">
            <v>0</v>
          </cell>
          <cell r="K111">
            <v>0</v>
          </cell>
        </row>
        <row r="112">
          <cell r="C112">
            <v>0</v>
          </cell>
          <cell r="D112">
            <v>0</v>
          </cell>
          <cell r="E112">
            <v>0</v>
          </cell>
          <cell r="K112">
            <v>0</v>
          </cell>
        </row>
        <row r="113">
          <cell r="C113">
            <v>0</v>
          </cell>
          <cell r="D113">
            <v>0</v>
          </cell>
          <cell r="E113">
            <v>0</v>
          </cell>
          <cell r="K113">
            <v>0</v>
          </cell>
        </row>
        <row r="114">
          <cell r="C114">
            <v>0</v>
          </cell>
          <cell r="D114">
            <v>0</v>
          </cell>
          <cell r="E114">
            <v>0</v>
          </cell>
          <cell r="K114">
            <v>0</v>
          </cell>
        </row>
        <row r="115">
          <cell r="C115">
            <v>0</v>
          </cell>
          <cell r="D115">
            <v>0</v>
          </cell>
          <cell r="E115">
            <v>0</v>
          </cell>
          <cell r="K115">
            <v>0</v>
          </cell>
        </row>
        <row r="116">
          <cell r="C116">
            <v>0</v>
          </cell>
          <cell r="D116">
            <v>0</v>
          </cell>
          <cell r="E116">
            <v>0</v>
          </cell>
          <cell r="K116">
            <v>0</v>
          </cell>
        </row>
        <row r="117">
          <cell r="C117">
            <v>0</v>
          </cell>
          <cell r="D117">
            <v>0</v>
          </cell>
          <cell r="E117">
            <v>0</v>
          </cell>
          <cell r="K117">
            <v>0</v>
          </cell>
        </row>
        <row r="118">
          <cell r="C118">
            <v>0</v>
          </cell>
          <cell r="D118">
            <v>0</v>
          </cell>
          <cell r="E118">
            <v>0</v>
          </cell>
          <cell r="K118">
            <v>0</v>
          </cell>
        </row>
        <row r="119">
          <cell r="C119">
            <v>0</v>
          </cell>
          <cell r="D119">
            <v>0</v>
          </cell>
          <cell r="E119">
            <v>0</v>
          </cell>
        </row>
        <row r="126">
          <cell r="K126">
            <v>0</v>
          </cell>
          <cell r="L126" t="e">
            <v>#DIV/0!</v>
          </cell>
        </row>
        <row r="127">
          <cell r="K127">
            <v>3</v>
          </cell>
          <cell r="L127">
            <v>1</v>
          </cell>
        </row>
        <row r="128">
          <cell r="K128">
            <v>0</v>
          </cell>
          <cell r="L128" t="e">
            <v>#DIV/0!</v>
          </cell>
        </row>
        <row r="129">
          <cell r="K129">
            <v>0</v>
          </cell>
          <cell r="L129" t="e">
            <v>#DIV/0!</v>
          </cell>
        </row>
        <row r="130">
          <cell r="K130">
            <v>0</v>
          </cell>
          <cell r="L130" t="e">
            <v>#DIV/0!</v>
          </cell>
        </row>
        <row r="131">
          <cell r="K131">
            <v>0</v>
          </cell>
          <cell r="L131" t="e">
            <v>#DIV/0!</v>
          </cell>
        </row>
        <row r="132">
          <cell r="K132">
            <v>0</v>
          </cell>
          <cell r="L132" t="e">
            <v>#DIV/0!</v>
          </cell>
        </row>
        <row r="133">
          <cell r="K133">
            <v>0</v>
          </cell>
          <cell r="L133" t="e">
            <v>#DIV/0!</v>
          </cell>
        </row>
        <row r="134">
          <cell r="K134">
            <v>0</v>
          </cell>
          <cell r="L134" t="e">
            <v>#DIV/0!</v>
          </cell>
        </row>
        <row r="135">
          <cell r="K135">
            <v>0</v>
          </cell>
          <cell r="L135" t="e">
            <v>#DIV/0!</v>
          </cell>
        </row>
        <row r="136">
          <cell r="K136">
            <v>2</v>
          </cell>
          <cell r="L136">
            <v>0.5</v>
          </cell>
        </row>
        <row r="137">
          <cell r="K137">
            <v>0</v>
          </cell>
          <cell r="L137" t="e">
            <v>#DIV/0!</v>
          </cell>
        </row>
        <row r="138">
          <cell r="K138">
            <v>0</v>
          </cell>
          <cell r="L138" t="e">
            <v>#DIV/0!</v>
          </cell>
        </row>
        <row r="139">
          <cell r="K139">
            <v>0</v>
          </cell>
          <cell r="L139" t="e">
            <v>#DIV/0!</v>
          </cell>
        </row>
        <row r="140">
          <cell r="K140">
            <v>3</v>
          </cell>
          <cell r="L140">
            <v>0.33333333333333331</v>
          </cell>
        </row>
        <row r="141">
          <cell r="K141">
            <v>0</v>
          </cell>
          <cell r="L141" t="e">
            <v>#DIV/0!</v>
          </cell>
        </row>
        <row r="142">
          <cell r="K142">
            <v>0</v>
          </cell>
          <cell r="L142" t="e">
            <v>#DIV/0!</v>
          </cell>
        </row>
        <row r="143">
          <cell r="K143">
            <v>0</v>
          </cell>
          <cell r="L143" t="e">
            <v>#DIV/0!</v>
          </cell>
        </row>
        <row r="144">
          <cell r="K144">
            <v>8</v>
          </cell>
        </row>
        <row r="151">
          <cell r="K151">
            <v>0</v>
          </cell>
          <cell r="L151" t="e">
            <v>#DIV/0!</v>
          </cell>
        </row>
        <row r="152">
          <cell r="K152">
            <v>0</v>
          </cell>
          <cell r="L152" t="e">
            <v>#DIV/0!</v>
          </cell>
        </row>
        <row r="153">
          <cell r="K153">
            <v>0</v>
          </cell>
          <cell r="L153" t="e">
            <v>#DIV/0!</v>
          </cell>
        </row>
        <row r="154">
          <cell r="K154">
            <v>1</v>
          </cell>
          <cell r="L154">
            <v>1</v>
          </cell>
        </row>
        <row r="155">
          <cell r="K155">
            <v>0</v>
          </cell>
          <cell r="L155" t="e">
            <v>#DIV/0!</v>
          </cell>
        </row>
        <row r="156">
          <cell r="K156">
            <v>0</v>
          </cell>
          <cell r="L156" t="e">
            <v>#DIV/0!</v>
          </cell>
        </row>
        <row r="157">
          <cell r="K157">
            <v>0</v>
          </cell>
          <cell r="L157" t="e">
            <v>#DIV/0!</v>
          </cell>
        </row>
        <row r="158">
          <cell r="K158">
            <v>1</v>
          </cell>
          <cell r="L158">
            <v>1</v>
          </cell>
        </row>
        <row r="159">
          <cell r="K159">
            <v>0</v>
          </cell>
          <cell r="L159" t="e">
            <v>#DIV/0!</v>
          </cell>
        </row>
        <row r="160">
          <cell r="K160">
            <v>0</v>
          </cell>
          <cell r="L160" t="e">
            <v>#DIV/0!</v>
          </cell>
        </row>
        <row r="161">
          <cell r="K161">
            <v>0</v>
          </cell>
          <cell r="L161" t="e">
            <v>#DIV/0!</v>
          </cell>
        </row>
        <row r="162">
          <cell r="K162">
            <v>1</v>
          </cell>
          <cell r="L162">
            <v>1</v>
          </cell>
        </row>
        <row r="163">
          <cell r="K163">
            <v>0</v>
          </cell>
          <cell r="L163" t="e">
            <v>#DIV/0!</v>
          </cell>
        </row>
        <row r="164">
          <cell r="K164">
            <v>0</v>
          </cell>
          <cell r="L164" t="e">
            <v>#DIV/0!</v>
          </cell>
        </row>
        <row r="165">
          <cell r="K165">
            <v>1</v>
          </cell>
          <cell r="L165">
            <v>0</v>
          </cell>
        </row>
        <row r="166">
          <cell r="K166">
            <v>0</v>
          </cell>
          <cell r="L166" t="e">
            <v>#DIV/0!</v>
          </cell>
        </row>
        <row r="167">
          <cell r="K167">
            <v>0</v>
          </cell>
          <cell r="L167" t="e">
            <v>#DIV/0!</v>
          </cell>
        </row>
        <row r="168">
          <cell r="K168">
            <v>0</v>
          </cell>
          <cell r="L168" t="e">
            <v>#DIV/0!</v>
          </cell>
        </row>
        <row r="169">
          <cell r="K169">
            <v>4</v>
          </cell>
        </row>
        <row r="176">
          <cell r="K176">
            <v>0</v>
          </cell>
          <cell r="L176" t="e">
            <v>#DIV/0!</v>
          </cell>
        </row>
        <row r="177">
          <cell r="K177">
            <v>0</v>
          </cell>
          <cell r="L177" t="e">
            <v>#DIV/0!</v>
          </cell>
        </row>
        <row r="178">
          <cell r="K178">
            <v>0</v>
          </cell>
          <cell r="L178" t="e">
            <v>#DIV/0!</v>
          </cell>
        </row>
        <row r="179">
          <cell r="K179">
            <v>1</v>
          </cell>
          <cell r="L179">
            <v>1</v>
          </cell>
        </row>
        <row r="180">
          <cell r="K180">
            <v>0</v>
          </cell>
          <cell r="L180" t="e">
            <v>#DIV/0!</v>
          </cell>
        </row>
        <row r="181">
          <cell r="K181">
            <v>0</v>
          </cell>
          <cell r="L181" t="e">
            <v>#DIV/0!</v>
          </cell>
        </row>
        <row r="182">
          <cell r="K182">
            <v>0</v>
          </cell>
          <cell r="L182" t="e">
            <v>#DIV/0!</v>
          </cell>
        </row>
        <row r="183">
          <cell r="K183">
            <v>2</v>
          </cell>
          <cell r="L183">
            <v>0.5</v>
          </cell>
        </row>
        <row r="184">
          <cell r="K184">
            <v>0</v>
          </cell>
          <cell r="L184" t="e">
            <v>#DIV/0!</v>
          </cell>
        </row>
        <row r="185">
          <cell r="K185">
            <v>0</v>
          </cell>
          <cell r="L185" t="e">
            <v>#DIV/0!</v>
          </cell>
        </row>
        <row r="186">
          <cell r="K186">
            <v>1</v>
          </cell>
          <cell r="L186">
            <v>0</v>
          </cell>
        </row>
        <row r="187">
          <cell r="K187">
            <v>0</v>
          </cell>
          <cell r="L187" t="e">
            <v>#DIV/0!</v>
          </cell>
        </row>
        <row r="188">
          <cell r="K188">
            <v>0</v>
          </cell>
          <cell r="L188" t="e">
            <v>#DIV/0!</v>
          </cell>
        </row>
        <row r="189">
          <cell r="K189">
            <v>0</v>
          </cell>
          <cell r="L189" t="e">
            <v>#DIV/0!</v>
          </cell>
        </row>
        <row r="190">
          <cell r="K190">
            <v>0</v>
          </cell>
          <cell r="L190" t="e">
            <v>#DIV/0!</v>
          </cell>
        </row>
        <row r="191">
          <cell r="K191">
            <v>0</v>
          </cell>
          <cell r="L191" t="e">
            <v>#DIV/0!</v>
          </cell>
        </row>
        <row r="192">
          <cell r="K192">
            <v>0</v>
          </cell>
          <cell r="L192" t="e">
            <v>#DIV/0!</v>
          </cell>
        </row>
        <row r="193">
          <cell r="K193">
            <v>0</v>
          </cell>
          <cell r="L193" t="e">
            <v>#DIV/0!</v>
          </cell>
        </row>
        <row r="194">
          <cell r="K194">
            <v>4</v>
          </cell>
        </row>
        <row r="201">
          <cell r="K201">
            <v>0</v>
          </cell>
          <cell r="L201" t="e">
            <v>#DIV/0!</v>
          </cell>
        </row>
        <row r="202">
          <cell r="K202">
            <v>1</v>
          </cell>
          <cell r="L202">
            <v>0</v>
          </cell>
        </row>
        <row r="203">
          <cell r="K203">
            <v>0</v>
          </cell>
          <cell r="L203" t="e">
            <v>#DIV/0!</v>
          </cell>
        </row>
        <row r="204">
          <cell r="K204">
            <v>0</v>
          </cell>
          <cell r="L204" t="e">
            <v>#DIV/0!</v>
          </cell>
        </row>
        <row r="205">
          <cell r="K205">
            <v>0</v>
          </cell>
          <cell r="L205" t="e">
            <v>#DIV/0!</v>
          </cell>
        </row>
        <row r="206">
          <cell r="K206">
            <v>1</v>
          </cell>
          <cell r="L206">
            <v>1</v>
          </cell>
        </row>
        <row r="207">
          <cell r="K207">
            <v>0</v>
          </cell>
          <cell r="L207" t="e">
            <v>#DIV/0!</v>
          </cell>
        </row>
        <row r="208">
          <cell r="K208">
            <v>0</v>
          </cell>
          <cell r="L208" t="e">
            <v>#DIV/0!</v>
          </cell>
        </row>
        <row r="209">
          <cell r="K209">
            <v>0</v>
          </cell>
          <cell r="L209" t="e">
            <v>#DIV/0!</v>
          </cell>
        </row>
        <row r="210">
          <cell r="K210">
            <v>2</v>
          </cell>
          <cell r="L210">
            <v>0</v>
          </cell>
        </row>
        <row r="211">
          <cell r="K211">
            <v>0</v>
          </cell>
          <cell r="L211" t="e">
            <v>#DIV/0!</v>
          </cell>
        </row>
        <row r="212">
          <cell r="K212">
            <v>0</v>
          </cell>
          <cell r="L212" t="e">
            <v>#DIV/0!</v>
          </cell>
        </row>
        <row r="213">
          <cell r="K213">
            <v>0</v>
          </cell>
          <cell r="L213" t="e">
            <v>#DIV/0!</v>
          </cell>
        </row>
        <row r="214">
          <cell r="K214">
            <v>0</v>
          </cell>
          <cell r="L214" t="e">
            <v>#DIV/0!</v>
          </cell>
        </row>
        <row r="215">
          <cell r="K215">
            <v>0</v>
          </cell>
          <cell r="L215" t="e">
            <v>#DIV/0!</v>
          </cell>
        </row>
        <row r="216">
          <cell r="K216">
            <v>0</v>
          </cell>
          <cell r="L216" t="e">
            <v>#DIV/0!</v>
          </cell>
        </row>
        <row r="217">
          <cell r="K217">
            <v>0</v>
          </cell>
          <cell r="L217" t="e">
            <v>#DIV/0!</v>
          </cell>
        </row>
        <row r="218">
          <cell r="K218">
            <v>0</v>
          </cell>
          <cell r="L218" t="e">
            <v>#DIV/0!</v>
          </cell>
        </row>
        <row r="219">
          <cell r="K219">
            <v>4</v>
          </cell>
        </row>
        <row r="226">
          <cell r="K226">
            <v>0</v>
          </cell>
          <cell r="L226" t="e">
            <v>#DIV/0!</v>
          </cell>
        </row>
        <row r="227">
          <cell r="K227">
            <v>0</v>
          </cell>
          <cell r="L227" t="e">
            <v>#DIV/0!</v>
          </cell>
        </row>
        <row r="228">
          <cell r="K228">
            <v>1</v>
          </cell>
          <cell r="L228">
            <v>0</v>
          </cell>
        </row>
        <row r="229">
          <cell r="K229">
            <v>0</v>
          </cell>
          <cell r="L229" t="e">
            <v>#DIV/0!</v>
          </cell>
        </row>
        <row r="230">
          <cell r="K230">
            <v>2</v>
          </cell>
          <cell r="L230">
            <v>0.5</v>
          </cell>
        </row>
        <row r="231">
          <cell r="K231">
            <v>2</v>
          </cell>
          <cell r="L231">
            <v>0.5</v>
          </cell>
        </row>
        <row r="232">
          <cell r="K232">
            <v>0</v>
          </cell>
          <cell r="L232" t="e">
            <v>#DIV/0!</v>
          </cell>
        </row>
        <row r="233">
          <cell r="K233">
            <v>0</v>
          </cell>
          <cell r="L233" t="e">
            <v>#DIV/0!</v>
          </cell>
        </row>
        <row r="234">
          <cell r="K234">
            <v>0</v>
          </cell>
          <cell r="L234" t="e">
            <v>#DIV/0!</v>
          </cell>
        </row>
        <row r="235">
          <cell r="K235">
            <v>1</v>
          </cell>
          <cell r="L235">
            <v>0</v>
          </cell>
        </row>
        <row r="236">
          <cell r="K236">
            <v>0</v>
          </cell>
          <cell r="L236" t="e">
            <v>#DIV/0!</v>
          </cell>
        </row>
        <row r="237">
          <cell r="K237">
            <v>0</v>
          </cell>
          <cell r="L237" t="e">
            <v>#DIV/0!</v>
          </cell>
        </row>
        <row r="238">
          <cell r="K238">
            <v>0</v>
          </cell>
          <cell r="L238" t="e">
            <v>#DIV/0!</v>
          </cell>
        </row>
        <row r="239">
          <cell r="K239">
            <v>0</v>
          </cell>
          <cell r="L239" t="e">
            <v>#DIV/0!</v>
          </cell>
        </row>
        <row r="240">
          <cell r="K240">
            <v>0</v>
          </cell>
          <cell r="L240" t="e">
            <v>#DIV/0!</v>
          </cell>
        </row>
        <row r="241">
          <cell r="K241">
            <v>0</v>
          </cell>
          <cell r="L241" t="e">
            <v>#DIV/0!</v>
          </cell>
        </row>
        <row r="242">
          <cell r="K242">
            <v>0</v>
          </cell>
          <cell r="L242" t="e">
            <v>#DIV/0!</v>
          </cell>
        </row>
        <row r="243">
          <cell r="K243">
            <v>0</v>
          </cell>
          <cell r="L243" t="e">
            <v>#DIV/0!</v>
          </cell>
        </row>
        <row r="244">
          <cell r="K244">
            <v>6</v>
          </cell>
        </row>
        <row r="250">
          <cell r="K250">
            <v>0</v>
          </cell>
          <cell r="L250" t="e">
            <v>#DIV/0!</v>
          </cell>
        </row>
        <row r="251">
          <cell r="K251">
            <v>0</v>
          </cell>
          <cell r="L251" t="e">
            <v>#DIV/0!</v>
          </cell>
        </row>
        <row r="252">
          <cell r="K252">
            <v>0</v>
          </cell>
          <cell r="L252" t="e">
            <v>#DIV/0!</v>
          </cell>
        </row>
        <row r="253">
          <cell r="K253">
            <v>0</v>
          </cell>
          <cell r="L253" t="e">
            <v>#DIV/0!</v>
          </cell>
        </row>
        <row r="254">
          <cell r="K254">
            <v>0</v>
          </cell>
          <cell r="L254" t="e">
            <v>#DIV/0!</v>
          </cell>
        </row>
        <row r="255">
          <cell r="K255">
            <v>0</v>
          </cell>
          <cell r="L255" t="e">
            <v>#DIV/0!</v>
          </cell>
        </row>
        <row r="256">
          <cell r="K256">
            <v>0</v>
          </cell>
          <cell r="L256" t="e">
            <v>#DIV/0!</v>
          </cell>
        </row>
        <row r="257">
          <cell r="K257">
            <v>0</v>
          </cell>
          <cell r="L257" t="e">
            <v>#DIV/0!</v>
          </cell>
        </row>
        <row r="258">
          <cell r="K258">
            <v>0</v>
          </cell>
          <cell r="L258" t="e">
            <v>#DIV/0!</v>
          </cell>
        </row>
        <row r="259">
          <cell r="K259">
            <v>0</v>
          </cell>
          <cell r="L259" t="e">
            <v>#DIV/0!</v>
          </cell>
        </row>
        <row r="260">
          <cell r="K260">
            <v>0</v>
          </cell>
          <cell r="L260" t="e">
            <v>#DIV/0!</v>
          </cell>
        </row>
        <row r="261">
          <cell r="K261">
            <v>0</v>
          </cell>
          <cell r="L261" t="e">
            <v>#DIV/0!</v>
          </cell>
        </row>
        <row r="262">
          <cell r="K262">
            <v>0</v>
          </cell>
          <cell r="L262" t="e">
            <v>#DIV/0!</v>
          </cell>
        </row>
        <row r="263">
          <cell r="K263">
            <v>0</v>
          </cell>
          <cell r="L263" t="e">
            <v>#DIV/0!</v>
          </cell>
        </row>
        <row r="264">
          <cell r="K264">
            <v>0</v>
          </cell>
          <cell r="L264" t="e">
            <v>#DIV/0!</v>
          </cell>
        </row>
        <row r="265">
          <cell r="K265">
            <v>0</v>
          </cell>
          <cell r="L265" t="e">
            <v>#DIV/0!</v>
          </cell>
        </row>
        <row r="266">
          <cell r="K266">
            <v>0</v>
          </cell>
          <cell r="L266" t="e">
            <v>#DIV/0!</v>
          </cell>
        </row>
        <row r="267">
          <cell r="K267">
            <v>0</v>
          </cell>
          <cell r="L267" t="e">
            <v>#DIV/0!</v>
          </cell>
        </row>
        <row r="268">
          <cell r="K268">
            <v>0</v>
          </cell>
        </row>
        <row r="275">
          <cell r="K275">
            <v>0</v>
          </cell>
          <cell r="L275" t="e">
            <v>#DIV/0!</v>
          </cell>
        </row>
        <row r="276">
          <cell r="K276">
            <v>0</v>
          </cell>
          <cell r="L276" t="e">
            <v>#DIV/0!</v>
          </cell>
        </row>
        <row r="277">
          <cell r="K277">
            <v>0</v>
          </cell>
          <cell r="L277" t="e">
            <v>#DIV/0!</v>
          </cell>
        </row>
        <row r="278">
          <cell r="K278">
            <v>1</v>
          </cell>
          <cell r="L278">
            <v>0</v>
          </cell>
        </row>
        <row r="279">
          <cell r="K279">
            <v>1</v>
          </cell>
          <cell r="L279">
            <v>1</v>
          </cell>
        </row>
        <row r="280">
          <cell r="K280">
            <v>0</v>
          </cell>
          <cell r="L280" t="e">
            <v>#DIV/0!</v>
          </cell>
        </row>
        <row r="281">
          <cell r="K281">
            <v>0</v>
          </cell>
          <cell r="L281" t="e">
            <v>#DIV/0!</v>
          </cell>
        </row>
        <row r="282">
          <cell r="K282">
            <v>0</v>
          </cell>
          <cell r="L282" t="e">
            <v>#DIV/0!</v>
          </cell>
        </row>
        <row r="283">
          <cell r="K283">
            <v>0</v>
          </cell>
          <cell r="L283" t="e">
            <v>#DIV/0!</v>
          </cell>
        </row>
        <row r="284">
          <cell r="K284">
            <v>0</v>
          </cell>
          <cell r="L284" t="e">
            <v>#DIV/0!</v>
          </cell>
        </row>
        <row r="285">
          <cell r="K285">
            <v>0</v>
          </cell>
          <cell r="L285" t="e">
            <v>#DIV/0!</v>
          </cell>
        </row>
        <row r="286">
          <cell r="K286">
            <v>0</v>
          </cell>
          <cell r="L286" t="e">
            <v>#DIV/0!</v>
          </cell>
        </row>
        <row r="287">
          <cell r="K287">
            <v>0</v>
          </cell>
          <cell r="L287" t="e">
            <v>#DIV/0!</v>
          </cell>
        </row>
        <row r="288">
          <cell r="K288">
            <v>0</v>
          </cell>
          <cell r="L288" t="e">
            <v>#DIV/0!</v>
          </cell>
        </row>
        <row r="289">
          <cell r="K289">
            <v>0</v>
          </cell>
          <cell r="L289" t="e">
            <v>#DIV/0!</v>
          </cell>
        </row>
        <row r="290">
          <cell r="K290">
            <v>0</v>
          </cell>
          <cell r="L290" t="e">
            <v>#DIV/0!</v>
          </cell>
        </row>
        <row r="291">
          <cell r="K291">
            <v>0</v>
          </cell>
          <cell r="L291" t="e">
            <v>#DIV/0!</v>
          </cell>
        </row>
        <row r="292">
          <cell r="K292">
            <v>0</v>
          </cell>
          <cell r="L292" t="e">
            <v>#DIV/0!</v>
          </cell>
        </row>
        <row r="293">
          <cell r="K293">
            <v>2</v>
          </cell>
        </row>
        <row r="300">
          <cell r="K300">
            <v>0</v>
          </cell>
          <cell r="L300" t="e">
            <v>#DIV/0!</v>
          </cell>
        </row>
        <row r="301">
          <cell r="K301">
            <v>0</v>
          </cell>
          <cell r="L301" t="e">
            <v>#DIV/0!</v>
          </cell>
        </row>
        <row r="302">
          <cell r="K302">
            <v>0</v>
          </cell>
          <cell r="L302" t="e">
            <v>#DIV/0!</v>
          </cell>
        </row>
        <row r="303">
          <cell r="K303">
            <v>0</v>
          </cell>
          <cell r="L303" t="e">
            <v>#DIV/0!</v>
          </cell>
        </row>
        <row r="304">
          <cell r="K304">
            <v>0</v>
          </cell>
          <cell r="L304" t="e">
            <v>#DIV/0!</v>
          </cell>
        </row>
        <row r="305">
          <cell r="K305">
            <v>0</v>
          </cell>
          <cell r="L305" t="e">
            <v>#DIV/0!</v>
          </cell>
        </row>
        <row r="306">
          <cell r="K306">
            <v>0</v>
          </cell>
          <cell r="L306" t="e">
            <v>#DIV/0!</v>
          </cell>
        </row>
        <row r="307">
          <cell r="K307">
            <v>0</v>
          </cell>
          <cell r="L307" t="e">
            <v>#DIV/0!</v>
          </cell>
        </row>
        <row r="308">
          <cell r="K308">
            <v>0</v>
          </cell>
          <cell r="L308" t="e">
            <v>#DIV/0!</v>
          </cell>
        </row>
        <row r="309">
          <cell r="K309">
            <v>0</v>
          </cell>
          <cell r="L309" t="e">
            <v>#DIV/0!</v>
          </cell>
        </row>
        <row r="310">
          <cell r="K310">
            <v>0</v>
          </cell>
          <cell r="L310" t="e">
            <v>#DIV/0!</v>
          </cell>
        </row>
        <row r="311">
          <cell r="K311">
            <v>0</v>
          </cell>
          <cell r="L311" t="e">
            <v>#DIV/0!</v>
          </cell>
        </row>
        <row r="312">
          <cell r="K312">
            <v>0</v>
          </cell>
          <cell r="L312" t="e">
            <v>#DIV/0!</v>
          </cell>
        </row>
        <row r="313">
          <cell r="K313">
            <v>1</v>
          </cell>
          <cell r="L313">
            <v>0</v>
          </cell>
        </row>
        <row r="314">
          <cell r="K314">
            <v>0</v>
          </cell>
          <cell r="L314" t="e">
            <v>#DIV/0!</v>
          </cell>
        </row>
        <row r="315">
          <cell r="K315">
            <v>0</v>
          </cell>
          <cell r="L315" t="e">
            <v>#DIV/0!</v>
          </cell>
        </row>
        <row r="316">
          <cell r="K316">
            <v>0</v>
          </cell>
          <cell r="L316" t="e">
            <v>#DIV/0!</v>
          </cell>
        </row>
        <row r="317">
          <cell r="K317">
            <v>0</v>
          </cell>
          <cell r="L317" t="e">
            <v>#DIV/0!</v>
          </cell>
        </row>
        <row r="318">
          <cell r="K318">
            <v>1</v>
          </cell>
        </row>
        <row r="325">
          <cell r="K325">
            <v>0</v>
          </cell>
          <cell r="L325" t="e">
            <v>#DIV/0!</v>
          </cell>
        </row>
        <row r="326">
          <cell r="K326">
            <v>0</v>
          </cell>
          <cell r="L326" t="e">
            <v>#DIV/0!</v>
          </cell>
        </row>
        <row r="327">
          <cell r="K327">
            <v>0</v>
          </cell>
          <cell r="L327" t="e">
            <v>#DIV/0!</v>
          </cell>
        </row>
        <row r="328">
          <cell r="K328">
            <v>1</v>
          </cell>
          <cell r="L328">
            <v>1</v>
          </cell>
        </row>
        <row r="329">
          <cell r="K329">
            <v>0</v>
          </cell>
          <cell r="L329" t="e">
            <v>#DIV/0!</v>
          </cell>
        </row>
        <row r="330">
          <cell r="K330">
            <v>0</v>
          </cell>
          <cell r="L330" t="e">
            <v>#DIV/0!</v>
          </cell>
        </row>
        <row r="331">
          <cell r="K331">
            <v>0</v>
          </cell>
          <cell r="L331" t="e">
            <v>#DIV/0!</v>
          </cell>
        </row>
        <row r="332">
          <cell r="K332">
            <v>0</v>
          </cell>
          <cell r="L332" t="e">
            <v>#DIV/0!</v>
          </cell>
        </row>
        <row r="333">
          <cell r="K333">
            <v>0</v>
          </cell>
          <cell r="L333" t="e">
            <v>#DIV/0!</v>
          </cell>
        </row>
        <row r="334">
          <cell r="K334">
            <v>0</v>
          </cell>
          <cell r="L334" t="e">
            <v>#DIV/0!</v>
          </cell>
        </row>
        <row r="335">
          <cell r="K335">
            <v>0</v>
          </cell>
          <cell r="L335" t="e">
            <v>#DIV/0!</v>
          </cell>
        </row>
        <row r="336">
          <cell r="K336">
            <v>0</v>
          </cell>
          <cell r="L336" t="e">
            <v>#DIV/0!</v>
          </cell>
        </row>
        <row r="337">
          <cell r="K337">
            <v>0</v>
          </cell>
          <cell r="L337" t="e">
            <v>#DIV/0!</v>
          </cell>
        </row>
        <row r="338">
          <cell r="K338">
            <v>0</v>
          </cell>
          <cell r="L338" t="e">
            <v>#DIV/0!</v>
          </cell>
        </row>
        <row r="339">
          <cell r="K339">
            <v>0</v>
          </cell>
          <cell r="L339" t="e">
            <v>#DIV/0!</v>
          </cell>
        </row>
        <row r="340">
          <cell r="K340">
            <v>0</v>
          </cell>
          <cell r="L340" t="e">
            <v>#DIV/0!</v>
          </cell>
        </row>
        <row r="341">
          <cell r="K341">
            <v>0</v>
          </cell>
          <cell r="L341" t="e">
            <v>#DIV/0!</v>
          </cell>
        </row>
        <row r="342">
          <cell r="K342">
            <v>0</v>
          </cell>
          <cell r="L342" t="e">
            <v>#DIV/0!</v>
          </cell>
        </row>
        <row r="343">
          <cell r="K343">
            <v>1</v>
          </cell>
        </row>
      </sheetData>
      <sheetData sheetId="27">
        <row r="4">
          <cell r="O4">
            <v>2</v>
          </cell>
          <cell r="P4">
            <v>0.5</v>
          </cell>
        </row>
        <row r="5">
          <cell r="O5">
            <v>0</v>
          </cell>
          <cell r="P5" t="e">
            <v>#DIV/0!</v>
          </cell>
        </row>
        <row r="6">
          <cell r="O6">
            <v>0</v>
          </cell>
          <cell r="P6" t="e">
            <v>#DIV/0!</v>
          </cell>
        </row>
        <row r="7">
          <cell r="O7">
            <v>2</v>
          </cell>
          <cell r="P7">
            <v>1</v>
          </cell>
        </row>
        <row r="8">
          <cell r="O8">
            <v>1</v>
          </cell>
          <cell r="P8">
            <v>1</v>
          </cell>
        </row>
        <row r="9">
          <cell r="O9">
            <v>2</v>
          </cell>
          <cell r="P9">
            <v>1</v>
          </cell>
        </row>
        <row r="10">
          <cell r="O10">
            <v>3</v>
          </cell>
          <cell r="P10">
            <v>0.66666666666666663</v>
          </cell>
        </row>
        <row r="11">
          <cell r="O11">
            <v>2</v>
          </cell>
          <cell r="P11">
            <v>0</v>
          </cell>
        </row>
        <row r="12">
          <cell r="O12">
            <v>1</v>
          </cell>
          <cell r="P12">
            <v>1</v>
          </cell>
        </row>
        <row r="13">
          <cell r="O13">
            <v>1</v>
          </cell>
          <cell r="P13">
            <v>1</v>
          </cell>
        </row>
        <row r="14">
          <cell r="O14">
            <v>2</v>
          </cell>
          <cell r="P14">
            <v>1</v>
          </cell>
        </row>
        <row r="15">
          <cell r="O15">
            <v>0</v>
          </cell>
          <cell r="P15" t="e">
            <v>#DIV/0!</v>
          </cell>
        </row>
        <row r="16">
          <cell r="O16">
            <v>0</v>
          </cell>
          <cell r="P16" t="e">
            <v>#DIV/0!</v>
          </cell>
        </row>
        <row r="17">
          <cell r="O17">
            <v>1</v>
          </cell>
          <cell r="P17">
            <v>1</v>
          </cell>
        </row>
        <row r="18">
          <cell r="O18">
            <v>6</v>
          </cell>
          <cell r="P18">
            <v>0.33333333333333331</v>
          </cell>
        </row>
        <row r="19">
          <cell r="O19">
            <v>0</v>
          </cell>
          <cell r="P19" t="e">
            <v>#DIV/0!</v>
          </cell>
        </row>
        <row r="20">
          <cell r="O20">
            <v>0</v>
          </cell>
          <cell r="P20" t="e">
            <v>#DIV/0!</v>
          </cell>
        </row>
        <row r="21">
          <cell r="O21">
            <v>1</v>
          </cell>
          <cell r="P21">
            <v>1</v>
          </cell>
        </row>
        <row r="22">
          <cell r="O22">
            <v>24</v>
          </cell>
        </row>
        <row r="30">
          <cell r="O30">
            <v>2</v>
          </cell>
          <cell r="P30">
            <v>0.5</v>
          </cell>
        </row>
        <row r="31">
          <cell r="O31">
            <v>1</v>
          </cell>
          <cell r="P31">
            <v>1</v>
          </cell>
        </row>
        <row r="32">
          <cell r="O32">
            <v>1</v>
          </cell>
          <cell r="P32">
            <v>1</v>
          </cell>
        </row>
        <row r="33">
          <cell r="O33">
            <v>3</v>
          </cell>
          <cell r="P33">
            <v>1</v>
          </cell>
        </row>
        <row r="34">
          <cell r="O34">
            <v>0</v>
          </cell>
          <cell r="P34" t="e">
            <v>#DIV/0!</v>
          </cell>
        </row>
        <row r="35">
          <cell r="O35">
            <v>1</v>
          </cell>
          <cell r="P35">
            <v>1</v>
          </cell>
        </row>
        <row r="36">
          <cell r="O36">
            <v>1</v>
          </cell>
          <cell r="P36">
            <v>1</v>
          </cell>
        </row>
        <row r="37">
          <cell r="O37">
            <v>1</v>
          </cell>
          <cell r="P37">
            <v>0</v>
          </cell>
        </row>
        <row r="38">
          <cell r="O38">
            <v>1</v>
          </cell>
          <cell r="P38">
            <v>1</v>
          </cell>
        </row>
        <row r="39">
          <cell r="O39">
            <v>2</v>
          </cell>
          <cell r="P39">
            <v>0</v>
          </cell>
        </row>
        <row r="40">
          <cell r="O40">
            <v>2</v>
          </cell>
          <cell r="P40">
            <v>0.5</v>
          </cell>
        </row>
        <row r="41">
          <cell r="O41">
            <v>0</v>
          </cell>
          <cell r="P41" t="e">
            <v>#DIV/0!</v>
          </cell>
        </row>
        <row r="42">
          <cell r="O42">
            <v>1</v>
          </cell>
          <cell r="P42">
            <v>0</v>
          </cell>
        </row>
        <row r="43">
          <cell r="O43">
            <v>0</v>
          </cell>
          <cell r="P43" t="e">
            <v>#DIV/0!</v>
          </cell>
        </row>
        <row r="44">
          <cell r="O44">
            <v>7</v>
          </cell>
          <cell r="P44">
            <v>0.2857142857142857</v>
          </cell>
        </row>
        <row r="45">
          <cell r="O45">
            <v>2</v>
          </cell>
          <cell r="P45">
            <v>0.5</v>
          </cell>
        </row>
        <row r="46">
          <cell r="O46">
            <v>0</v>
          </cell>
          <cell r="P46" t="e">
            <v>#DIV/0!</v>
          </cell>
        </row>
        <row r="47">
          <cell r="O47">
            <v>2</v>
          </cell>
          <cell r="P47">
            <v>0.5</v>
          </cell>
        </row>
        <row r="48">
          <cell r="O48">
            <v>27</v>
          </cell>
        </row>
      </sheetData>
      <sheetData sheetId="28"/>
      <sheetData sheetId="29"/>
      <sheetData sheetId="30"/>
      <sheetData sheetId="3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7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44FD84-2BB9-4476-B394-357E03E290E4}">
  <sheetPr codeName="Feuil32"/>
  <dimension ref="P3:S58"/>
  <sheetViews>
    <sheetView workbookViewId="0">
      <selection activeCell="N20" sqref="N20"/>
    </sheetView>
  </sheetViews>
  <sheetFormatPr baseColWidth="10" defaultRowHeight="14.5" x14ac:dyDescent="0.35"/>
  <cols>
    <col min="3" max="3" width="21.6328125" customWidth="1"/>
    <col min="17" max="17" width="20.36328125" customWidth="1"/>
    <col min="18" max="18" width="12.81640625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/>
    </row>
    <row r="5" spans="16:18" x14ac:dyDescent="0.35">
      <c r="P5" s="399"/>
      <c r="Q5" s="376" t="s">
        <v>282</v>
      </c>
      <c r="R5" s="374"/>
    </row>
    <row r="6" spans="16:18" x14ac:dyDescent="0.35">
      <c r="P6" s="399"/>
      <c r="Q6" s="376" t="s">
        <v>297</v>
      </c>
      <c r="R6" s="374"/>
    </row>
    <row r="7" spans="16:18" x14ac:dyDescent="0.35">
      <c r="P7" s="399"/>
      <c r="Q7" s="376" t="s">
        <v>296</v>
      </c>
      <c r="R7" s="374"/>
    </row>
    <row r="8" spans="16:18" x14ac:dyDescent="0.35">
      <c r="P8" s="399"/>
      <c r="Q8" s="376" t="s">
        <v>298</v>
      </c>
      <c r="R8" s="374"/>
    </row>
    <row r="9" spans="16:18" x14ac:dyDescent="0.35">
      <c r="P9" s="399"/>
      <c r="Q9" s="376" t="s">
        <v>283</v>
      </c>
      <c r="R9" s="374"/>
    </row>
    <row r="10" spans="16:18" x14ac:dyDescent="0.35">
      <c r="P10" s="403"/>
      <c r="Q10" s="377" t="s">
        <v>17</v>
      </c>
      <c r="R10" s="374"/>
    </row>
    <row r="11" spans="16:18" x14ac:dyDescent="0.35">
      <c r="P11" s="404" t="s">
        <v>458</v>
      </c>
      <c r="Q11" s="405"/>
      <c r="R11" s="374"/>
    </row>
    <row r="12" spans="16:18" x14ac:dyDescent="0.35">
      <c r="P12" s="404" t="s">
        <v>459</v>
      </c>
      <c r="Q12" s="405"/>
      <c r="R12" s="374"/>
    </row>
    <row r="13" spans="16:18" x14ac:dyDescent="0.35">
      <c r="P13" s="404" t="s">
        <v>460</v>
      </c>
      <c r="Q13" s="405"/>
      <c r="R13" s="374"/>
    </row>
    <row r="14" spans="16:18" x14ac:dyDescent="0.35">
      <c r="P14" s="398" t="s">
        <v>146</v>
      </c>
      <c r="Q14" s="379" t="s">
        <v>307</v>
      </c>
      <c r="R14" s="374"/>
    </row>
    <row r="15" spans="16:18" x14ac:dyDescent="0.35">
      <c r="P15" s="399"/>
      <c r="Q15" s="376" t="s">
        <v>308</v>
      </c>
      <c r="R15" s="374"/>
    </row>
    <row r="16" spans="16:18" ht="15" thickBot="1" x14ac:dyDescent="0.4">
      <c r="P16" s="400"/>
      <c r="Q16" s="376" t="s">
        <v>309</v>
      </c>
      <c r="R16" s="374"/>
    </row>
    <row r="17" spans="16:18" x14ac:dyDescent="0.35">
      <c r="P17" s="380"/>
      <c r="Q17" s="376" t="s">
        <v>22</v>
      </c>
      <c r="R17" s="374"/>
    </row>
    <row r="18" spans="16:18" ht="15" thickBot="1" x14ac:dyDescent="0.4">
      <c r="P18" s="381"/>
      <c r="Q18" s="382" t="s">
        <v>12</v>
      </c>
      <c r="R18" s="374"/>
    </row>
    <row r="19" spans="16:18" x14ac:dyDescent="0.35">
      <c r="Q19" s="383" t="s">
        <v>461</v>
      </c>
      <c r="R19" s="384">
        <f>SUM(R4:R18)</f>
        <v>0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/>
    </row>
    <row r="24" spans="16:18" x14ac:dyDescent="0.35">
      <c r="P24" s="399"/>
      <c r="Q24" s="376" t="s">
        <v>282</v>
      </c>
      <c r="R24" s="385"/>
    </row>
    <row r="25" spans="16:18" x14ac:dyDescent="0.35">
      <c r="P25" s="399"/>
      <c r="Q25" s="376" t="s">
        <v>297</v>
      </c>
      <c r="R25" s="385"/>
    </row>
    <row r="26" spans="16:18" x14ac:dyDescent="0.35">
      <c r="P26" s="399"/>
      <c r="Q26" s="376" t="s">
        <v>296</v>
      </c>
      <c r="R26" s="385"/>
    </row>
    <row r="27" spans="16:18" x14ac:dyDescent="0.35">
      <c r="P27" s="399"/>
      <c r="Q27" s="376" t="s">
        <v>298</v>
      </c>
      <c r="R27" s="385"/>
    </row>
    <row r="28" spans="16:18" x14ac:dyDescent="0.35">
      <c r="P28" s="399"/>
      <c r="Q28" s="376" t="s">
        <v>283</v>
      </c>
      <c r="R28" s="385"/>
    </row>
    <row r="29" spans="16:18" x14ac:dyDescent="0.35">
      <c r="P29" s="403"/>
      <c r="Q29" s="377" t="s">
        <v>17</v>
      </c>
      <c r="R29" s="385"/>
    </row>
    <row r="30" spans="16:18" x14ac:dyDescent="0.35">
      <c r="P30" s="404" t="s">
        <v>458</v>
      </c>
      <c r="Q30" s="405"/>
      <c r="R30" s="385"/>
    </row>
    <row r="31" spans="16:18" x14ac:dyDescent="0.35">
      <c r="P31" s="404" t="s">
        <v>459</v>
      </c>
      <c r="Q31" s="405"/>
      <c r="R31" s="385"/>
    </row>
    <row r="32" spans="16:18" x14ac:dyDescent="0.35">
      <c r="P32" s="404" t="s">
        <v>460</v>
      </c>
      <c r="Q32" s="405"/>
      <c r="R32" s="385"/>
    </row>
    <row r="33" spans="16:19" x14ac:dyDescent="0.35">
      <c r="P33" s="398" t="s">
        <v>146</v>
      </c>
      <c r="Q33" s="379" t="s">
        <v>307</v>
      </c>
      <c r="R33" s="385"/>
    </row>
    <row r="34" spans="16:19" x14ac:dyDescent="0.35">
      <c r="P34" s="399"/>
      <c r="Q34" s="376" t="s">
        <v>308</v>
      </c>
      <c r="R34" s="385"/>
    </row>
    <row r="35" spans="16:19" ht="15" thickBot="1" x14ac:dyDescent="0.4">
      <c r="P35" s="400"/>
      <c r="Q35" s="376" t="s">
        <v>309</v>
      </c>
      <c r="R35" s="385"/>
    </row>
    <row r="36" spans="16:19" x14ac:dyDescent="0.35">
      <c r="P36" s="380"/>
      <c r="Q36" s="376" t="s">
        <v>22</v>
      </c>
      <c r="R36" s="385"/>
    </row>
    <row r="37" spans="16:19" ht="15" thickBot="1" x14ac:dyDescent="0.4">
      <c r="P37" s="381"/>
      <c r="Q37" s="382" t="s">
        <v>12</v>
      </c>
      <c r="R37" s="385"/>
    </row>
    <row r="38" spans="16:19" x14ac:dyDescent="0.35">
      <c r="Q38" s="383" t="s">
        <v>461</v>
      </c>
      <c r="R38" s="386"/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/>
      <c r="S42" s="409" t="s">
        <v>465</v>
      </c>
    </row>
    <row r="43" spans="16:19" ht="15" thickBot="1" x14ac:dyDescent="0.4">
      <c r="P43" s="404" t="s">
        <v>459</v>
      </c>
      <c r="Q43" s="410"/>
      <c r="R43" s="394"/>
      <c r="S43" s="409"/>
    </row>
    <row r="44" spans="16:19" x14ac:dyDescent="0.35">
      <c r="P44" s="404" t="s">
        <v>460</v>
      </c>
      <c r="Q44" s="410"/>
      <c r="R44" s="394"/>
      <c r="S44" s="409"/>
    </row>
    <row r="45" spans="16:19" x14ac:dyDescent="0.35">
      <c r="P45" s="398" t="s">
        <v>295</v>
      </c>
      <c r="Q45" s="378" t="s">
        <v>15</v>
      </c>
      <c r="R45" s="388"/>
    </row>
    <row r="46" spans="16:19" x14ac:dyDescent="0.35">
      <c r="P46" s="399"/>
      <c r="Q46" s="375" t="s">
        <v>282</v>
      </c>
      <c r="R46" s="388"/>
    </row>
    <row r="47" spans="16:19" x14ac:dyDescent="0.35">
      <c r="P47" s="399"/>
      <c r="Q47" s="375" t="s">
        <v>297</v>
      </c>
      <c r="R47" s="388"/>
    </row>
    <row r="48" spans="16:19" x14ac:dyDescent="0.35">
      <c r="P48" s="399"/>
      <c r="Q48" s="375" t="s">
        <v>296</v>
      </c>
      <c r="R48" s="388"/>
    </row>
    <row r="49" spans="16:18" x14ac:dyDescent="0.35">
      <c r="P49" s="399"/>
      <c r="Q49" s="375" t="s">
        <v>298</v>
      </c>
      <c r="R49" s="388"/>
    </row>
    <row r="50" spans="16:18" x14ac:dyDescent="0.35">
      <c r="P50" s="399"/>
      <c r="Q50" s="375" t="s">
        <v>283</v>
      </c>
      <c r="R50" s="388"/>
    </row>
    <row r="51" spans="16:18" x14ac:dyDescent="0.35">
      <c r="P51" s="403"/>
      <c r="Q51" s="352" t="s">
        <v>17</v>
      </c>
      <c r="R51" s="388"/>
    </row>
    <row r="52" spans="16:18" x14ac:dyDescent="0.35">
      <c r="P52" s="398" t="s">
        <v>146</v>
      </c>
      <c r="Q52" s="378" t="s">
        <v>307</v>
      </c>
      <c r="R52" s="389"/>
    </row>
    <row r="53" spans="16:18" x14ac:dyDescent="0.35">
      <c r="P53" s="399"/>
      <c r="Q53" s="375" t="s">
        <v>308</v>
      </c>
      <c r="R53" s="389"/>
    </row>
    <row r="54" spans="16:18" ht="15" thickBot="1" x14ac:dyDescent="0.4">
      <c r="P54" s="400"/>
      <c r="Q54" s="375" t="s">
        <v>309</v>
      </c>
      <c r="R54" s="389"/>
    </row>
    <row r="55" spans="16:18" x14ac:dyDescent="0.35">
      <c r="P55" s="380"/>
      <c r="Q55" s="375" t="s">
        <v>22</v>
      </c>
      <c r="R55" s="389"/>
    </row>
    <row r="56" spans="16:18" ht="15" thickBot="1" x14ac:dyDescent="0.4">
      <c r="P56" s="381"/>
      <c r="Q56" s="143" t="s">
        <v>12</v>
      </c>
      <c r="R56" s="389"/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ED31F1-92C7-4C14-B82D-FC27CBE3060C}">
  <sheetPr codeName="Feuil22"/>
  <dimension ref="P3:S58"/>
  <sheetViews>
    <sheetView workbookViewId="0">
      <selection activeCell="K18" sqref="K18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joueuse'!K226</f>
        <v>0</v>
      </c>
    </row>
    <row r="5" spans="16:18" x14ac:dyDescent="0.35">
      <c r="P5" s="399"/>
      <c r="Q5" s="376" t="s">
        <v>282</v>
      </c>
      <c r="R5" s="374">
        <f>'[1]Duel tireur GB joueuse'!K227</f>
        <v>0</v>
      </c>
    </row>
    <row r="6" spans="16:18" x14ac:dyDescent="0.35">
      <c r="P6" s="399"/>
      <c r="Q6" s="376" t="s">
        <v>297</v>
      </c>
      <c r="R6" s="374">
        <f>'[1]Duel tireur GB joueuse'!K228</f>
        <v>1</v>
      </c>
    </row>
    <row r="7" spans="16:18" x14ac:dyDescent="0.35">
      <c r="P7" s="399"/>
      <c r="Q7" s="376" t="s">
        <v>296</v>
      </c>
      <c r="R7" s="374">
        <f>'[1]Duel tireur GB joueuse'!K229</f>
        <v>0</v>
      </c>
    </row>
    <row r="8" spans="16:18" x14ac:dyDescent="0.35">
      <c r="P8" s="399"/>
      <c r="Q8" s="376" t="s">
        <v>298</v>
      </c>
      <c r="R8" s="374">
        <f>'[1]Duel tireur GB joueuse'!K230</f>
        <v>2</v>
      </c>
    </row>
    <row r="9" spans="16:18" x14ac:dyDescent="0.35">
      <c r="P9" s="399"/>
      <c r="Q9" s="376" t="s">
        <v>283</v>
      </c>
      <c r="R9" s="374">
        <f>'[1]Duel tireur GB joueuse'!K231</f>
        <v>2</v>
      </c>
    </row>
    <row r="10" spans="16:18" x14ac:dyDescent="0.35">
      <c r="P10" s="403"/>
      <c r="Q10" s="377" t="s">
        <v>17</v>
      </c>
      <c r="R10" s="374">
        <f>'[1]Duel tireur GB joueuse'!K232</f>
        <v>0</v>
      </c>
    </row>
    <row r="11" spans="16:18" x14ac:dyDescent="0.35">
      <c r="P11" s="404" t="s">
        <v>458</v>
      </c>
      <c r="Q11" s="405"/>
      <c r="R11" s="374">
        <f>('[1]Duel tireur GB joueuse'!K233+'[1]Duel tireur GB joueuse'!K236)</f>
        <v>0</v>
      </c>
    </row>
    <row r="12" spans="16:18" x14ac:dyDescent="0.35">
      <c r="P12" s="404" t="s">
        <v>459</v>
      </c>
      <c r="Q12" s="405"/>
      <c r="R12" s="374">
        <f>('[1]Duel tireur GB joueuse'!K234+'[1]Duel tireur GB joueuse'!K237)</f>
        <v>0</v>
      </c>
    </row>
    <row r="13" spans="16:18" x14ac:dyDescent="0.35">
      <c r="P13" s="404" t="s">
        <v>460</v>
      </c>
      <c r="Q13" s="405"/>
      <c r="R13" s="374">
        <f>('[1]Duel tireur GB joueuse'!K235+'[1]Duel tireur GB joueuse'!K238)</f>
        <v>1</v>
      </c>
    </row>
    <row r="14" spans="16:18" x14ac:dyDescent="0.35">
      <c r="P14" s="398" t="s">
        <v>146</v>
      </c>
      <c r="Q14" s="379" t="s">
        <v>307</v>
      </c>
      <c r="R14" s="374">
        <f>'[1]Duel tireur GB joueuse'!K239</f>
        <v>0</v>
      </c>
    </row>
    <row r="15" spans="16:18" x14ac:dyDescent="0.35">
      <c r="P15" s="399"/>
      <c r="Q15" s="376" t="s">
        <v>308</v>
      </c>
      <c r="R15" s="374">
        <f>'[1]Duel tireur GB joueuse'!K240</f>
        <v>0</v>
      </c>
    </row>
    <row r="16" spans="16:18" ht="15" thickBot="1" x14ac:dyDescent="0.4">
      <c r="P16" s="400"/>
      <c r="Q16" s="376" t="s">
        <v>309</v>
      </c>
      <c r="R16" s="374">
        <f>'[1]Duel tireur GB joueuse'!K241</f>
        <v>0</v>
      </c>
    </row>
    <row r="17" spans="16:18" x14ac:dyDescent="0.35">
      <c r="P17" s="380"/>
      <c r="Q17" s="376" t="s">
        <v>22</v>
      </c>
      <c r="R17" s="374">
        <f>'[1]Duel tireur GB joueuse'!K242</f>
        <v>0</v>
      </c>
    </row>
    <row r="18" spans="16:18" ht="15" thickBot="1" x14ac:dyDescent="0.4">
      <c r="P18" s="381"/>
      <c r="Q18" s="382" t="s">
        <v>12</v>
      </c>
      <c r="R18" s="374">
        <f>'[1]Duel tireur GB joueuse'!K243</f>
        <v>0</v>
      </c>
    </row>
    <row r="19" spans="16:18" x14ac:dyDescent="0.35">
      <c r="Q19" s="383" t="s">
        <v>461</v>
      </c>
      <c r="R19" s="384">
        <f>SUM(R4:R18)</f>
        <v>6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joueuse'!K226/'[1]Duel tireur GB joueuse'!$K$244</f>
        <v>0</v>
      </c>
    </row>
    <row r="24" spans="16:18" x14ac:dyDescent="0.35">
      <c r="P24" s="399"/>
      <c r="Q24" s="376" t="s">
        <v>282</v>
      </c>
      <c r="R24" s="385">
        <f>'[1]Duel tireur GB joueuse'!K227/'[1]Duel tireur GB joueuse'!$K$244</f>
        <v>0</v>
      </c>
    </row>
    <row r="25" spans="16:18" x14ac:dyDescent="0.35">
      <c r="P25" s="399"/>
      <c r="Q25" s="376" t="s">
        <v>297</v>
      </c>
      <c r="R25" s="385">
        <f>'[1]Duel tireur GB joueuse'!K228/'[1]Duel tireur GB joueuse'!$K$244</f>
        <v>0.16666666666666666</v>
      </c>
    </row>
    <row r="26" spans="16:18" x14ac:dyDescent="0.35">
      <c r="P26" s="399"/>
      <c r="Q26" s="376" t="s">
        <v>296</v>
      </c>
      <c r="R26" s="385">
        <f>'[1]Duel tireur GB joueuse'!K229/'[1]Duel tireur GB joueuse'!$K$244</f>
        <v>0</v>
      </c>
    </row>
    <row r="27" spans="16:18" x14ac:dyDescent="0.35">
      <c r="P27" s="399"/>
      <c r="Q27" s="376" t="s">
        <v>298</v>
      </c>
      <c r="R27" s="385">
        <f>'[1]Duel tireur GB joueuse'!K230/'[1]Duel tireur GB joueuse'!$K$244</f>
        <v>0.33333333333333331</v>
      </c>
    </row>
    <row r="28" spans="16:18" x14ac:dyDescent="0.35">
      <c r="P28" s="399"/>
      <c r="Q28" s="376" t="s">
        <v>283</v>
      </c>
      <c r="R28" s="385">
        <f>'[1]Duel tireur GB joueuse'!K231/'[1]Duel tireur GB joueuse'!$K$244</f>
        <v>0.33333333333333331</v>
      </c>
    </row>
    <row r="29" spans="16:18" x14ac:dyDescent="0.35">
      <c r="P29" s="403"/>
      <c r="Q29" s="377" t="s">
        <v>17</v>
      </c>
      <c r="R29" s="385">
        <f>'[1]Duel tireur GB joueuse'!K232/'[1]Duel tireur GB joueuse'!$K$244</f>
        <v>0</v>
      </c>
    </row>
    <row r="30" spans="16:18" x14ac:dyDescent="0.35">
      <c r="P30" s="404" t="s">
        <v>458</v>
      </c>
      <c r="Q30" s="405"/>
      <c r="R30" s="385">
        <f>('[1]Duel tireur GB joueuse'!K233+'[1]Duel tireur GB joueuse'!K236)/'[1]Duel tireur GB joueuse'!$K$244</f>
        <v>0</v>
      </c>
    </row>
    <row r="31" spans="16:18" x14ac:dyDescent="0.35">
      <c r="P31" s="404" t="s">
        <v>459</v>
      </c>
      <c r="Q31" s="405"/>
      <c r="R31" s="385">
        <f>('[1]Duel tireur GB joueuse'!K234+'[1]Duel tireur GB joueuse'!K237)/'[1]Duel tireur GB joueuse'!$K$244</f>
        <v>0</v>
      </c>
    </row>
    <row r="32" spans="16:18" x14ac:dyDescent="0.35">
      <c r="P32" s="404" t="s">
        <v>460</v>
      </c>
      <c r="Q32" s="405"/>
      <c r="R32" s="385">
        <f>('[1]Duel tireur GB joueuse'!K235+'[1]Duel tireur GB joueuse'!K238)/'[1]Duel tireur GB joueuse'!$K$244</f>
        <v>0.16666666666666666</v>
      </c>
    </row>
    <row r="33" spans="16:19" x14ac:dyDescent="0.35">
      <c r="P33" s="398" t="s">
        <v>146</v>
      </c>
      <c r="Q33" s="379" t="s">
        <v>307</v>
      </c>
      <c r="R33" s="385">
        <f>'[1]Duel tireur GB joueuse'!K239/'[1]Duel tireur GB joueuse'!$K$244</f>
        <v>0</v>
      </c>
    </row>
    <row r="34" spans="16:19" x14ac:dyDescent="0.35">
      <c r="P34" s="399"/>
      <c r="Q34" s="376" t="s">
        <v>308</v>
      </c>
      <c r="R34" s="385">
        <f>'[1]Duel tireur GB joueuse'!K240/'[1]Duel tireur GB joueuse'!$K$244</f>
        <v>0</v>
      </c>
    </row>
    <row r="35" spans="16:19" ht="15" thickBot="1" x14ac:dyDescent="0.4">
      <c r="P35" s="400"/>
      <c r="Q35" s="376" t="s">
        <v>309</v>
      </c>
      <c r="R35" s="385">
        <f>'[1]Duel tireur GB joueuse'!K241/'[1]Duel tireur GB joueuse'!$K$244</f>
        <v>0</v>
      </c>
    </row>
    <row r="36" spans="16:19" x14ac:dyDescent="0.35">
      <c r="P36" s="380"/>
      <c r="Q36" s="376" t="s">
        <v>22</v>
      </c>
      <c r="R36" s="385">
        <f>'[1]Duel tireur GB joueuse'!K242/'[1]Duel tireur GB joueuse'!$K$244</f>
        <v>0</v>
      </c>
    </row>
    <row r="37" spans="16:19" ht="15" thickBot="1" x14ac:dyDescent="0.4">
      <c r="P37" s="381"/>
      <c r="Q37" s="382" t="s">
        <v>12</v>
      </c>
      <c r="R37" s="385">
        <f>'[1]Duel tireur GB joueuse'!K243/'[1]Duel tireur GB joueuse'!$K$244</f>
        <v>0</v>
      </c>
    </row>
    <row r="38" spans="16:19" x14ac:dyDescent="0.35">
      <c r="Q38" s="383" t="s">
        <v>461</v>
      </c>
      <c r="R38" s="386">
        <f>SUM(R23:R37)</f>
        <v>0.99999999999999989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joueuse'!L233+'[1]Duel tireur GB joueuse'!L236)/2</f>
        <v>#DIV/0!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joueuse'!L234+'[1]Duel tireur GB joueuse'!L237)/2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joueuse'!L235+'[1]Duel tireur GB joueuse'!L238)/2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 t="e">
        <f>'[1]Duel tireur GB joueuse'!L226</f>
        <v>#DIV/0!</v>
      </c>
    </row>
    <row r="46" spans="16:19" x14ac:dyDescent="0.35">
      <c r="P46" s="399"/>
      <c r="Q46" s="375" t="s">
        <v>282</v>
      </c>
      <c r="R46" s="388" t="e">
        <f>'[1]Duel tireur GB joueuse'!L227</f>
        <v>#DIV/0!</v>
      </c>
    </row>
    <row r="47" spans="16:19" x14ac:dyDescent="0.35">
      <c r="P47" s="399"/>
      <c r="Q47" s="375" t="s">
        <v>297</v>
      </c>
      <c r="R47" s="388">
        <f>'[1]Duel tireur GB joueuse'!L228</f>
        <v>0</v>
      </c>
    </row>
    <row r="48" spans="16:19" x14ac:dyDescent="0.35">
      <c r="P48" s="399"/>
      <c r="Q48" s="375" t="s">
        <v>296</v>
      </c>
      <c r="R48" s="388" t="e">
        <f>'[1]Duel tireur GB joueuse'!L229</f>
        <v>#DIV/0!</v>
      </c>
    </row>
    <row r="49" spans="16:18" x14ac:dyDescent="0.35">
      <c r="P49" s="399"/>
      <c r="Q49" s="375" t="s">
        <v>298</v>
      </c>
      <c r="R49" s="388">
        <f>'[1]Duel tireur GB joueuse'!L230</f>
        <v>0.5</v>
      </c>
    </row>
    <row r="50" spans="16:18" x14ac:dyDescent="0.35">
      <c r="P50" s="399"/>
      <c r="Q50" s="375" t="s">
        <v>283</v>
      </c>
      <c r="R50" s="388">
        <f>'[1]Duel tireur GB joueuse'!L231</f>
        <v>0.5</v>
      </c>
    </row>
    <row r="51" spans="16:18" x14ac:dyDescent="0.35">
      <c r="P51" s="403"/>
      <c r="Q51" s="352" t="s">
        <v>17</v>
      </c>
      <c r="R51" s="388" t="e">
        <f>'[1]Duel tireur GB joueuse'!L232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joueuse'!L239</f>
        <v>#DIV/0!</v>
      </c>
    </row>
    <row r="53" spans="16:18" x14ac:dyDescent="0.35">
      <c r="P53" s="399"/>
      <c r="Q53" s="375" t="s">
        <v>308</v>
      </c>
      <c r="R53" s="389" t="e">
        <f>'[1]Duel tireur GB joueuse'!L240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joueuse'!L241</f>
        <v>#DIV/0!</v>
      </c>
    </row>
    <row r="55" spans="16:18" x14ac:dyDescent="0.35">
      <c r="P55" s="380"/>
      <c r="Q55" s="375" t="s">
        <v>22</v>
      </c>
      <c r="R55" s="389" t="e">
        <f>'[1]Duel tireur GB joueuse'!L242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joueuse'!L243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8A38EE-6DB7-4821-8847-DE08E41184A6}">
  <sheetPr codeName="Feuil21"/>
  <dimension ref="P3:S58"/>
  <sheetViews>
    <sheetView workbookViewId="0">
      <selection activeCell="J19" sqref="J19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joueuse'!K275</f>
        <v>0</v>
      </c>
    </row>
    <row r="5" spans="16:18" x14ac:dyDescent="0.35">
      <c r="P5" s="399"/>
      <c r="Q5" s="376" t="s">
        <v>282</v>
      </c>
      <c r="R5" s="374">
        <f>'[1]Duel tireur GB joueuse'!K276</f>
        <v>0</v>
      </c>
    </row>
    <row r="6" spans="16:18" x14ac:dyDescent="0.35">
      <c r="P6" s="399"/>
      <c r="Q6" s="376" t="s">
        <v>297</v>
      </c>
      <c r="R6" s="374">
        <f>'[1]Duel tireur GB joueuse'!K277</f>
        <v>0</v>
      </c>
    </row>
    <row r="7" spans="16:18" x14ac:dyDescent="0.35">
      <c r="P7" s="399"/>
      <c r="Q7" s="376" t="s">
        <v>296</v>
      </c>
      <c r="R7" s="374">
        <f>'[1]Duel tireur GB joueuse'!K278</f>
        <v>1</v>
      </c>
    </row>
    <row r="8" spans="16:18" x14ac:dyDescent="0.35">
      <c r="P8" s="399"/>
      <c r="Q8" s="376" t="s">
        <v>298</v>
      </c>
      <c r="R8" s="374">
        <f>'[1]Duel tireur GB joueuse'!K279</f>
        <v>1</v>
      </c>
    </row>
    <row r="9" spans="16:18" x14ac:dyDescent="0.35">
      <c r="P9" s="399"/>
      <c r="Q9" s="376" t="s">
        <v>283</v>
      </c>
      <c r="R9" s="374">
        <f>'[1]Duel tireur GB joueuse'!K280</f>
        <v>0</v>
      </c>
    </row>
    <row r="10" spans="16:18" x14ac:dyDescent="0.35">
      <c r="P10" s="403"/>
      <c r="Q10" s="377" t="s">
        <v>17</v>
      </c>
      <c r="R10" s="374">
        <f>'[1]Duel tireur GB joueuse'!K281</f>
        <v>0</v>
      </c>
    </row>
    <row r="11" spans="16:18" x14ac:dyDescent="0.35">
      <c r="P11" s="404" t="s">
        <v>458</v>
      </c>
      <c r="Q11" s="405"/>
      <c r="R11" s="374">
        <f>('[1]Duel tireur GB joueuse'!K282+'[1]Duel tireur GB joueuse'!K285)</f>
        <v>0</v>
      </c>
    </row>
    <row r="12" spans="16:18" x14ac:dyDescent="0.35">
      <c r="P12" s="404" t="s">
        <v>459</v>
      </c>
      <c r="Q12" s="405"/>
      <c r="R12" s="374">
        <f>('[1]Duel tireur GB joueuse'!K283+'[1]Duel tireur GB joueuse'!K286)</f>
        <v>0</v>
      </c>
    </row>
    <row r="13" spans="16:18" x14ac:dyDescent="0.35">
      <c r="P13" s="404" t="s">
        <v>460</v>
      </c>
      <c r="Q13" s="405"/>
      <c r="R13" s="374">
        <f>('[1]Duel tireur GB joueuse'!K284+'[1]Duel tireur GB joueuse'!K287)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joueuse'!K288</f>
        <v>0</v>
      </c>
    </row>
    <row r="15" spans="16:18" x14ac:dyDescent="0.35">
      <c r="P15" s="399"/>
      <c r="Q15" s="376" t="s">
        <v>308</v>
      </c>
      <c r="R15" s="374">
        <f>'[1]Duel tireur GB joueuse'!K289</f>
        <v>0</v>
      </c>
    </row>
    <row r="16" spans="16:18" ht="15" thickBot="1" x14ac:dyDescent="0.4">
      <c r="P16" s="400"/>
      <c r="Q16" s="376" t="s">
        <v>309</v>
      </c>
      <c r="R16" s="374">
        <f>'[1]Duel tireur GB joueuse'!K290</f>
        <v>0</v>
      </c>
    </row>
    <row r="17" spans="16:18" x14ac:dyDescent="0.35">
      <c r="P17" s="380"/>
      <c r="Q17" s="376" t="s">
        <v>22</v>
      </c>
      <c r="R17" s="374">
        <f>'[1]Duel tireur GB joueuse'!K291</f>
        <v>0</v>
      </c>
    </row>
    <row r="18" spans="16:18" ht="15" thickBot="1" x14ac:dyDescent="0.4">
      <c r="P18" s="381"/>
      <c r="Q18" s="382" t="s">
        <v>12</v>
      </c>
      <c r="R18" s="374">
        <f>'[1]Duel tireur GB joueuse'!K292</f>
        <v>0</v>
      </c>
    </row>
    <row r="19" spans="16:18" x14ac:dyDescent="0.35">
      <c r="Q19" s="383" t="s">
        <v>461</v>
      </c>
      <c r="R19" s="384">
        <f>SUM(R4:R18)</f>
        <v>2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joueuse'!K275/'[1]Duel tireur GB joueuse'!$K$293</f>
        <v>0</v>
      </c>
    </row>
    <row r="24" spans="16:18" x14ac:dyDescent="0.35">
      <c r="P24" s="399"/>
      <c r="Q24" s="376" t="s">
        <v>282</v>
      </c>
      <c r="R24" s="385">
        <f>'[1]Duel tireur GB joueuse'!K276/'[1]Duel tireur GB joueuse'!$K$293</f>
        <v>0</v>
      </c>
    </row>
    <row r="25" spans="16:18" x14ac:dyDescent="0.35">
      <c r="P25" s="399"/>
      <c r="Q25" s="376" t="s">
        <v>297</v>
      </c>
      <c r="R25" s="385">
        <f>'[1]Duel tireur GB joueuse'!K277/'[1]Duel tireur GB joueuse'!$K$293</f>
        <v>0</v>
      </c>
    </row>
    <row r="26" spans="16:18" x14ac:dyDescent="0.35">
      <c r="P26" s="399"/>
      <c r="Q26" s="376" t="s">
        <v>296</v>
      </c>
      <c r="R26" s="385">
        <f>'[1]Duel tireur GB joueuse'!K278/'[1]Duel tireur GB joueuse'!$K$293</f>
        <v>0.5</v>
      </c>
    </row>
    <row r="27" spans="16:18" x14ac:dyDescent="0.35">
      <c r="P27" s="399"/>
      <c r="Q27" s="376" t="s">
        <v>298</v>
      </c>
      <c r="R27" s="385">
        <f>'[1]Duel tireur GB joueuse'!K279/'[1]Duel tireur GB joueuse'!$K$293</f>
        <v>0.5</v>
      </c>
    </row>
    <row r="28" spans="16:18" x14ac:dyDescent="0.35">
      <c r="P28" s="399"/>
      <c r="Q28" s="376" t="s">
        <v>283</v>
      </c>
      <c r="R28" s="385">
        <f>'[1]Duel tireur GB joueuse'!K280/'[1]Duel tireur GB joueuse'!$K$293</f>
        <v>0</v>
      </c>
    </row>
    <row r="29" spans="16:18" x14ac:dyDescent="0.35">
      <c r="P29" s="403"/>
      <c r="Q29" s="377" t="s">
        <v>17</v>
      </c>
      <c r="R29" s="385">
        <f>'[1]Duel tireur GB joueuse'!K281/'[1]Duel tireur GB joueuse'!$K$293</f>
        <v>0</v>
      </c>
    </row>
    <row r="30" spans="16:18" x14ac:dyDescent="0.35">
      <c r="P30" s="404" t="s">
        <v>458</v>
      </c>
      <c r="Q30" s="405"/>
      <c r="R30" s="385">
        <f>('[1]Duel tireur GB joueuse'!K282+'[1]Duel tireur GB joueuse'!K285)/'[1]Duel tireur GB joueuse'!$K$293</f>
        <v>0</v>
      </c>
    </row>
    <row r="31" spans="16:18" x14ac:dyDescent="0.35">
      <c r="P31" s="404" t="s">
        <v>459</v>
      </c>
      <c r="Q31" s="405"/>
      <c r="R31" s="385">
        <f>('[1]Duel tireur GB joueuse'!K283+'[1]Duel tireur GB joueuse'!K286)/'[1]Duel tireur GB joueuse'!$K$293</f>
        <v>0</v>
      </c>
    </row>
    <row r="32" spans="16:18" x14ac:dyDescent="0.35">
      <c r="P32" s="404" t="s">
        <v>460</v>
      </c>
      <c r="Q32" s="405"/>
      <c r="R32" s="385">
        <f>('[1]Duel tireur GB joueuse'!K284+'[1]Duel tireur GB joueuse'!K287)/'[1]Duel tireur GB joueuse'!$K$293</f>
        <v>0</v>
      </c>
    </row>
    <row r="33" spans="16:19" x14ac:dyDescent="0.35">
      <c r="P33" s="398" t="s">
        <v>146</v>
      </c>
      <c r="Q33" s="379" t="s">
        <v>307</v>
      </c>
      <c r="R33" s="385">
        <f>'[1]Duel tireur GB joueuse'!K288/'[1]Duel tireur GB joueuse'!$K$293</f>
        <v>0</v>
      </c>
    </row>
    <row r="34" spans="16:19" x14ac:dyDescent="0.35">
      <c r="P34" s="399"/>
      <c r="Q34" s="376" t="s">
        <v>308</v>
      </c>
      <c r="R34" s="385">
        <f>'[1]Duel tireur GB joueuse'!K289/'[1]Duel tireur GB joueuse'!$K$293</f>
        <v>0</v>
      </c>
    </row>
    <row r="35" spans="16:19" ht="15" thickBot="1" x14ac:dyDescent="0.4">
      <c r="P35" s="400"/>
      <c r="Q35" s="376" t="s">
        <v>309</v>
      </c>
      <c r="R35" s="385">
        <f>'[1]Duel tireur GB joueuse'!K290/'[1]Duel tireur GB joueuse'!$K$293</f>
        <v>0</v>
      </c>
    </row>
    <row r="36" spans="16:19" x14ac:dyDescent="0.35">
      <c r="P36" s="380"/>
      <c r="Q36" s="376" t="s">
        <v>22</v>
      </c>
      <c r="R36" s="385">
        <f>'[1]Duel tireur GB joueuse'!K291/'[1]Duel tireur GB joueuse'!$K$293</f>
        <v>0</v>
      </c>
    </row>
    <row r="37" spans="16:19" ht="15" thickBot="1" x14ac:dyDescent="0.4">
      <c r="P37" s="381"/>
      <c r="Q37" s="382" t="s">
        <v>12</v>
      </c>
      <c r="R37" s="385">
        <f>'[1]Duel tireur GB joueuse'!K292/'[1]Duel tireur GB joueuse'!$K$293</f>
        <v>0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joueuse'!L282+'[1]Duel tireur GB joueuse'!L285)/2</f>
        <v>#DIV/0!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joueuse'!L283+'[1]Duel tireur GB joueuse'!L286)/2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joueuse'!L284+'[1]Duel tireur GB joueuse'!L287)/2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 t="e">
        <f>'[1]Duel tireur GB joueuse'!L275</f>
        <v>#DIV/0!</v>
      </c>
    </row>
    <row r="46" spans="16:19" x14ac:dyDescent="0.35">
      <c r="P46" s="399"/>
      <c r="Q46" s="375" t="s">
        <v>282</v>
      </c>
      <c r="R46" s="388" t="e">
        <f>'[1]Duel tireur GB joueuse'!L276</f>
        <v>#DIV/0!</v>
      </c>
    </row>
    <row r="47" spans="16:19" x14ac:dyDescent="0.35">
      <c r="P47" s="399"/>
      <c r="Q47" s="375" t="s">
        <v>297</v>
      </c>
      <c r="R47" s="388" t="e">
        <f>'[1]Duel tireur GB joueuse'!L277</f>
        <v>#DIV/0!</v>
      </c>
    </row>
    <row r="48" spans="16:19" x14ac:dyDescent="0.35">
      <c r="P48" s="399"/>
      <c r="Q48" s="375" t="s">
        <v>296</v>
      </c>
      <c r="R48" s="388">
        <f>'[1]Duel tireur GB joueuse'!L278</f>
        <v>0</v>
      </c>
    </row>
    <row r="49" spans="16:18" x14ac:dyDescent="0.35">
      <c r="P49" s="399"/>
      <c r="Q49" s="375" t="s">
        <v>298</v>
      </c>
      <c r="R49" s="388">
        <f>'[1]Duel tireur GB joueuse'!L279</f>
        <v>1</v>
      </c>
    </row>
    <row r="50" spans="16:18" x14ac:dyDescent="0.35">
      <c r="P50" s="399"/>
      <c r="Q50" s="375" t="s">
        <v>283</v>
      </c>
      <c r="R50" s="388" t="e">
        <f>'[1]Duel tireur GB joueuse'!L280</f>
        <v>#DIV/0!</v>
      </c>
    </row>
    <row r="51" spans="16:18" x14ac:dyDescent="0.35">
      <c r="P51" s="403"/>
      <c r="Q51" s="352" t="s">
        <v>17</v>
      </c>
      <c r="R51" s="388" t="e">
        <f>'[1]Duel tireur GB joueuse'!L281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joueuse'!L288</f>
        <v>#DIV/0!</v>
      </c>
    </row>
    <row r="53" spans="16:18" x14ac:dyDescent="0.35">
      <c r="P53" s="399"/>
      <c r="Q53" s="375" t="s">
        <v>308</v>
      </c>
      <c r="R53" s="389" t="e">
        <f>'[1]Duel tireur GB joueuse'!L289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joueuse'!L290</f>
        <v>#DIV/0!</v>
      </c>
    </row>
    <row r="55" spans="16:18" x14ac:dyDescent="0.35">
      <c r="P55" s="380"/>
      <c r="Q55" s="375" t="s">
        <v>22</v>
      </c>
      <c r="R55" s="389" t="e">
        <f>'[1]Duel tireur GB joueuse'!L291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joueuse'!L292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105D0E-BE91-4919-A2B2-548900D451A2}">
  <sheetPr codeName="Feuil20"/>
  <dimension ref="P3:S58"/>
  <sheetViews>
    <sheetView workbookViewId="0">
      <selection activeCell="L18" sqref="L18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joueuse'!K176</f>
        <v>0</v>
      </c>
    </row>
    <row r="5" spans="16:18" x14ac:dyDescent="0.35">
      <c r="P5" s="399"/>
      <c r="Q5" s="376" t="s">
        <v>282</v>
      </c>
      <c r="R5" s="374">
        <f>'[1]Duel tireur GB joueuse'!K177</f>
        <v>0</v>
      </c>
    </row>
    <row r="6" spans="16:18" x14ac:dyDescent="0.35">
      <c r="P6" s="399"/>
      <c r="Q6" s="376" t="s">
        <v>297</v>
      </c>
      <c r="R6" s="374">
        <f>'[1]Duel tireur GB joueuse'!K178</f>
        <v>0</v>
      </c>
    </row>
    <row r="7" spans="16:18" x14ac:dyDescent="0.35">
      <c r="P7" s="399"/>
      <c r="Q7" s="376" t="s">
        <v>296</v>
      </c>
      <c r="R7" s="374">
        <f>'[1]Duel tireur GB joueuse'!K179</f>
        <v>1</v>
      </c>
    </row>
    <row r="8" spans="16:18" x14ac:dyDescent="0.35">
      <c r="P8" s="399"/>
      <c r="Q8" s="376" t="s">
        <v>298</v>
      </c>
      <c r="R8" s="374">
        <f>'[1]Duel tireur GB joueuse'!K180</f>
        <v>0</v>
      </c>
    </row>
    <row r="9" spans="16:18" x14ac:dyDescent="0.35">
      <c r="P9" s="399"/>
      <c r="Q9" s="376" t="s">
        <v>283</v>
      </c>
      <c r="R9" s="374">
        <f>'[1]Duel tireur GB joueuse'!K181</f>
        <v>0</v>
      </c>
    </row>
    <row r="10" spans="16:18" x14ac:dyDescent="0.35">
      <c r="P10" s="403"/>
      <c r="Q10" s="377" t="s">
        <v>17</v>
      </c>
      <c r="R10" s="374">
        <f>'[1]Duel tireur GB joueuse'!K182</f>
        <v>0</v>
      </c>
    </row>
    <row r="11" spans="16:18" x14ac:dyDescent="0.35">
      <c r="P11" s="404" t="s">
        <v>458</v>
      </c>
      <c r="Q11" s="405"/>
      <c r="R11" s="374">
        <f>('[1]Duel tireur GB joueuse'!K183+'[1]Duel tireur GB joueuse'!K186)</f>
        <v>3</v>
      </c>
    </row>
    <row r="12" spans="16:18" x14ac:dyDescent="0.35">
      <c r="P12" s="404" t="s">
        <v>459</v>
      </c>
      <c r="Q12" s="405"/>
      <c r="R12" s="374">
        <f>('[1]Duel tireur GB joueuse'!K184+'[1]Duel tireur GB joueuse'!K187)</f>
        <v>0</v>
      </c>
    </row>
    <row r="13" spans="16:18" x14ac:dyDescent="0.35">
      <c r="P13" s="404" t="s">
        <v>460</v>
      </c>
      <c r="Q13" s="405"/>
      <c r="R13" s="374">
        <f>('[1]Duel tireur GB joueuse'!K185+'[1]Duel tireur GB joueuse'!K188)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joueuse'!K189</f>
        <v>0</v>
      </c>
    </row>
    <row r="15" spans="16:18" x14ac:dyDescent="0.35">
      <c r="P15" s="399"/>
      <c r="Q15" s="376" t="s">
        <v>308</v>
      </c>
      <c r="R15" s="374">
        <f>'[1]Duel tireur GB joueuse'!K190</f>
        <v>0</v>
      </c>
    </row>
    <row r="16" spans="16:18" ht="15" thickBot="1" x14ac:dyDescent="0.4">
      <c r="P16" s="400"/>
      <c r="Q16" s="376" t="s">
        <v>309</v>
      </c>
      <c r="R16" s="374">
        <f>'[1]Duel tireur GB joueuse'!K191</f>
        <v>0</v>
      </c>
    </row>
    <row r="17" spans="16:18" x14ac:dyDescent="0.35">
      <c r="P17" s="380"/>
      <c r="Q17" s="376" t="s">
        <v>22</v>
      </c>
      <c r="R17" s="374">
        <f>'[1]Duel tireur GB joueuse'!K192</f>
        <v>0</v>
      </c>
    </row>
    <row r="18" spans="16:18" ht="15" thickBot="1" x14ac:dyDescent="0.4">
      <c r="P18" s="381"/>
      <c r="Q18" s="382" t="s">
        <v>12</v>
      </c>
      <c r="R18" s="374">
        <f>'[1]Duel tireur GB joueuse'!K193</f>
        <v>0</v>
      </c>
    </row>
    <row r="19" spans="16:18" x14ac:dyDescent="0.35">
      <c r="Q19" s="383" t="s">
        <v>461</v>
      </c>
      <c r="R19" s="384">
        <f>SUM(R4:R18)</f>
        <v>4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joueuse'!K176/'[1]Duel tireur GB joueuse'!$K$194</f>
        <v>0</v>
      </c>
    </row>
    <row r="24" spans="16:18" x14ac:dyDescent="0.35">
      <c r="P24" s="399"/>
      <c r="Q24" s="376" t="s">
        <v>282</v>
      </c>
      <c r="R24" s="385">
        <f>'[1]Duel tireur GB joueuse'!K177/'[1]Duel tireur GB joueuse'!$K$194</f>
        <v>0</v>
      </c>
    </row>
    <row r="25" spans="16:18" x14ac:dyDescent="0.35">
      <c r="P25" s="399"/>
      <c r="Q25" s="376" t="s">
        <v>297</v>
      </c>
      <c r="R25" s="385">
        <f>'[1]Duel tireur GB joueuse'!K178/'[1]Duel tireur GB joueuse'!$K$194</f>
        <v>0</v>
      </c>
    </row>
    <row r="26" spans="16:18" x14ac:dyDescent="0.35">
      <c r="P26" s="399"/>
      <c r="Q26" s="376" t="s">
        <v>296</v>
      </c>
      <c r="R26" s="385">
        <f>'[1]Duel tireur GB joueuse'!K179/'[1]Duel tireur GB joueuse'!$K$194</f>
        <v>0.25</v>
      </c>
    </row>
    <row r="27" spans="16:18" x14ac:dyDescent="0.35">
      <c r="P27" s="399"/>
      <c r="Q27" s="376" t="s">
        <v>298</v>
      </c>
      <c r="R27" s="385">
        <f>'[1]Duel tireur GB joueuse'!K180/'[1]Duel tireur GB joueuse'!$K$194</f>
        <v>0</v>
      </c>
    </row>
    <row r="28" spans="16:18" x14ac:dyDescent="0.35">
      <c r="P28" s="399"/>
      <c r="Q28" s="376" t="s">
        <v>283</v>
      </c>
      <c r="R28" s="385">
        <f>'[1]Duel tireur GB joueuse'!K181/'[1]Duel tireur GB joueuse'!$K$194</f>
        <v>0</v>
      </c>
    </row>
    <row r="29" spans="16:18" x14ac:dyDescent="0.35">
      <c r="P29" s="403"/>
      <c r="Q29" s="377" t="s">
        <v>17</v>
      </c>
      <c r="R29" s="385">
        <f>'[1]Duel tireur GB joueuse'!K182/'[1]Duel tireur GB joueuse'!$K$194</f>
        <v>0</v>
      </c>
    </row>
    <row r="30" spans="16:18" x14ac:dyDescent="0.35">
      <c r="P30" s="404" t="s">
        <v>458</v>
      </c>
      <c r="Q30" s="405"/>
      <c r="R30" s="385">
        <f>('[1]Duel tireur GB joueuse'!K183+'[1]Duel tireur GB joueuse'!K186)/'[1]Duel tireur GB joueuse'!$K$194</f>
        <v>0.75</v>
      </c>
    </row>
    <row r="31" spans="16:18" x14ac:dyDescent="0.35">
      <c r="P31" s="404" t="s">
        <v>459</v>
      </c>
      <c r="Q31" s="405"/>
      <c r="R31" s="385">
        <f>('[1]Duel tireur GB joueuse'!K184+'[1]Duel tireur GB joueuse'!K187)/'[1]Duel tireur GB joueuse'!$K$194</f>
        <v>0</v>
      </c>
    </row>
    <row r="32" spans="16:18" x14ac:dyDescent="0.35">
      <c r="P32" s="404" t="s">
        <v>460</v>
      </c>
      <c r="Q32" s="405"/>
      <c r="R32" s="385">
        <f>('[1]Duel tireur GB joueuse'!K185+'[1]Duel tireur GB joueuse'!K188)/'[1]Duel tireur GB joueuse'!$K$194</f>
        <v>0</v>
      </c>
    </row>
    <row r="33" spans="16:19" x14ac:dyDescent="0.35">
      <c r="P33" s="398" t="s">
        <v>146</v>
      </c>
      <c r="Q33" s="379" t="s">
        <v>307</v>
      </c>
      <c r="R33" s="385">
        <f>'[1]Duel tireur GB joueuse'!K189/'[1]Duel tireur GB joueuse'!$K$194</f>
        <v>0</v>
      </c>
    </row>
    <row r="34" spans="16:19" x14ac:dyDescent="0.35">
      <c r="P34" s="399"/>
      <c r="Q34" s="376" t="s">
        <v>308</v>
      </c>
      <c r="R34" s="385">
        <f>'[1]Duel tireur GB joueuse'!K190/'[1]Duel tireur GB joueuse'!$K$194</f>
        <v>0</v>
      </c>
    </row>
    <row r="35" spans="16:19" ht="15" thickBot="1" x14ac:dyDescent="0.4">
      <c r="P35" s="400"/>
      <c r="Q35" s="376" t="s">
        <v>309</v>
      </c>
      <c r="R35" s="385">
        <f>'[1]Duel tireur GB joueuse'!K191/'[1]Duel tireur GB joueuse'!$K$194</f>
        <v>0</v>
      </c>
    </row>
    <row r="36" spans="16:19" x14ac:dyDescent="0.35">
      <c r="P36" s="380"/>
      <c r="Q36" s="376" t="s">
        <v>22</v>
      </c>
      <c r="R36" s="385">
        <f>'[1]Duel tireur GB joueuse'!K192/'[1]Duel tireur GB joueuse'!$K$194</f>
        <v>0</v>
      </c>
    </row>
    <row r="37" spans="16:19" ht="15" thickBot="1" x14ac:dyDescent="0.4">
      <c r="P37" s="381"/>
      <c r="Q37" s="382" t="s">
        <v>12</v>
      </c>
      <c r="R37" s="385">
        <f>'[1]Duel tireur GB joueuse'!K193/'[1]Duel tireur GB joueuse'!$K$194</f>
        <v>0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>
        <f>('[1]Duel tireur GB joueuse'!L183+'[1]Duel tireur GB joueuse'!L186)/2</f>
        <v>0.25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joueuse'!L184+'[1]Duel tireur GB joueuse'!L187)/2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joueuse'!L185+'[1]Duel tireur GB joueuse'!L188)/2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 t="e">
        <f>'[1]Duel tireur GB joueuse'!L176</f>
        <v>#DIV/0!</v>
      </c>
    </row>
    <row r="46" spans="16:19" x14ac:dyDescent="0.35">
      <c r="P46" s="399"/>
      <c r="Q46" s="375" t="s">
        <v>282</v>
      </c>
      <c r="R46" s="388" t="e">
        <f>'[1]Duel tireur GB joueuse'!L177</f>
        <v>#DIV/0!</v>
      </c>
    </row>
    <row r="47" spans="16:19" x14ac:dyDescent="0.35">
      <c r="P47" s="399"/>
      <c r="Q47" s="375" t="s">
        <v>297</v>
      </c>
      <c r="R47" s="388" t="e">
        <f>'[1]Duel tireur GB joueuse'!L178</f>
        <v>#DIV/0!</v>
      </c>
    </row>
    <row r="48" spans="16:19" x14ac:dyDescent="0.35">
      <c r="P48" s="399"/>
      <c r="Q48" s="375" t="s">
        <v>296</v>
      </c>
      <c r="R48" s="388">
        <f>'[1]Duel tireur GB joueuse'!L179</f>
        <v>1</v>
      </c>
    </row>
    <row r="49" spans="16:18" x14ac:dyDescent="0.35">
      <c r="P49" s="399"/>
      <c r="Q49" s="375" t="s">
        <v>298</v>
      </c>
      <c r="R49" s="388" t="e">
        <f>'[1]Duel tireur GB joueuse'!L180</f>
        <v>#DIV/0!</v>
      </c>
    </row>
    <row r="50" spans="16:18" x14ac:dyDescent="0.35">
      <c r="P50" s="399"/>
      <c r="Q50" s="375" t="s">
        <v>283</v>
      </c>
      <c r="R50" s="388" t="e">
        <f>'[1]Duel tireur GB joueuse'!L181</f>
        <v>#DIV/0!</v>
      </c>
    </row>
    <row r="51" spans="16:18" x14ac:dyDescent="0.35">
      <c r="P51" s="403"/>
      <c r="Q51" s="352" t="s">
        <v>17</v>
      </c>
      <c r="R51" s="388" t="e">
        <f>'[1]Duel tireur GB joueuse'!L182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joueuse'!L189</f>
        <v>#DIV/0!</v>
      </c>
    </row>
    <row r="53" spans="16:18" x14ac:dyDescent="0.35">
      <c r="P53" s="399"/>
      <c r="Q53" s="375" t="s">
        <v>308</v>
      </c>
      <c r="R53" s="389" t="e">
        <f>'[1]Duel tireur GB joueuse'!L190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joueuse'!L191</f>
        <v>#DIV/0!</v>
      </c>
    </row>
    <row r="55" spans="16:18" x14ac:dyDescent="0.35">
      <c r="P55" s="380"/>
      <c r="Q55" s="375" t="s">
        <v>22</v>
      </c>
      <c r="R55" s="389" t="e">
        <f>'[1]Duel tireur GB joueuse'!L192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joueuse'!L193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99A725-A4D2-402D-B9B8-99DEB7D8A5FA}">
  <sheetPr codeName="Feuil19"/>
  <dimension ref="P3:S58"/>
  <sheetViews>
    <sheetView topLeftCell="A22" zoomScale="84" workbookViewId="0">
      <selection activeCell="P1" sqref="P1:S1048576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joueuse'!K151</f>
        <v>0</v>
      </c>
    </row>
    <row r="5" spans="16:18" x14ac:dyDescent="0.35">
      <c r="P5" s="399"/>
      <c r="Q5" s="376" t="s">
        <v>282</v>
      </c>
      <c r="R5" s="374">
        <f>'[1]Duel tireur GB joueuse'!K152</f>
        <v>0</v>
      </c>
    </row>
    <row r="6" spans="16:18" x14ac:dyDescent="0.35">
      <c r="P6" s="399"/>
      <c r="Q6" s="376" t="s">
        <v>297</v>
      </c>
      <c r="R6" s="374">
        <f>'[1]Duel tireur GB joueuse'!K153</f>
        <v>0</v>
      </c>
    </row>
    <row r="7" spans="16:18" x14ac:dyDescent="0.35">
      <c r="P7" s="399"/>
      <c r="Q7" s="376" t="s">
        <v>296</v>
      </c>
      <c r="R7" s="374">
        <f>'[1]Duel tireur GB joueuse'!K154</f>
        <v>1</v>
      </c>
    </row>
    <row r="8" spans="16:18" x14ac:dyDescent="0.35">
      <c r="P8" s="399"/>
      <c r="Q8" s="376" t="s">
        <v>298</v>
      </c>
      <c r="R8" s="374">
        <f>'[1]Duel tireur GB joueuse'!K155</f>
        <v>0</v>
      </c>
    </row>
    <row r="9" spans="16:18" x14ac:dyDescent="0.35">
      <c r="P9" s="399"/>
      <c r="Q9" s="376" t="s">
        <v>283</v>
      </c>
      <c r="R9" s="374">
        <f>'[1]Duel tireur GB joueuse'!K156</f>
        <v>0</v>
      </c>
    </row>
    <row r="10" spans="16:18" x14ac:dyDescent="0.35">
      <c r="P10" s="403"/>
      <c r="Q10" s="377" t="s">
        <v>17</v>
      </c>
      <c r="R10" s="374">
        <f>'[1]Duel tireur GB joueuse'!K157</f>
        <v>0</v>
      </c>
    </row>
    <row r="11" spans="16:18" x14ac:dyDescent="0.35">
      <c r="P11" s="404" t="s">
        <v>458</v>
      </c>
      <c r="Q11" s="405"/>
      <c r="R11" s="374">
        <f>('[1]Duel tireur GB joueuse'!K158+'[1]Duel tireur GB joueuse'!K161)</f>
        <v>1</v>
      </c>
    </row>
    <row r="12" spans="16:18" x14ac:dyDescent="0.35">
      <c r="P12" s="404" t="s">
        <v>459</v>
      </c>
      <c r="Q12" s="405"/>
      <c r="R12" s="374">
        <f>('[1]Duel tireur GB joueuse'!K159+'[1]Duel tireur GB joueuse'!K162)</f>
        <v>1</v>
      </c>
    </row>
    <row r="13" spans="16:18" x14ac:dyDescent="0.35">
      <c r="P13" s="404" t="s">
        <v>460</v>
      </c>
      <c r="Q13" s="405"/>
      <c r="R13" s="374">
        <f>('[1]Duel tireur GB joueuse'!K160+'[1]Duel tireur GB joueuse'!K163)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joueuse'!K164</f>
        <v>0</v>
      </c>
    </row>
    <row r="15" spans="16:18" x14ac:dyDescent="0.35">
      <c r="P15" s="399"/>
      <c r="Q15" s="376" t="s">
        <v>308</v>
      </c>
      <c r="R15" s="374">
        <f>'[1]Duel tireur GB joueuse'!K165</f>
        <v>1</v>
      </c>
    </row>
    <row r="16" spans="16:18" ht="15" thickBot="1" x14ac:dyDescent="0.4">
      <c r="P16" s="400"/>
      <c r="Q16" s="376" t="s">
        <v>309</v>
      </c>
      <c r="R16" s="374">
        <f>'[1]Duel tireur GB joueuse'!K166</f>
        <v>0</v>
      </c>
    </row>
    <row r="17" spans="16:18" x14ac:dyDescent="0.35">
      <c r="P17" s="380"/>
      <c r="Q17" s="376" t="s">
        <v>22</v>
      </c>
      <c r="R17" s="374">
        <f>'[1]Duel tireur GB joueuse'!K167</f>
        <v>0</v>
      </c>
    </row>
    <row r="18" spans="16:18" ht="15" thickBot="1" x14ac:dyDescent="0.4">
      <c r="P18" s="381"/>
      <c r="Q18" s="382" t="s">
        <v>12</v>
      </c>
      <c r="R18" s="374">
        <f>'[1]Duel tireur GB joueuse'!K168</f>
        <v>0</v>
      </c>
    </row>
    <row r="19" spans="16:18" x14ac:dyDescent="0.35">
      <c r="Q19" s="383" t="s">
        <v>461</v>
      </c>
      <c r="R19" s="384">
        <f>SUM(R4:R18)</f>
        <v>4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joueuse'!K151/'[1]Duel tireur GB joueuse'!$K$169</f>
        <v>0</v>
      </c>
    </row>
    <row r="24" spans="16:18" x14ac:dyDescent="0.35">
      <c r="P24" s="399"/>
      <c r="Q24" s="376" t="s">
        <v>282</v>
      </c>
      <c r="R24" s="385">
        <f>'[1]Duel tireur GB joueuse'!K152/'[1]Duel tireur GB joueuse'!$K$169</f>
        <v>0</v>
      </c>
    </row>
    <row r="25" spans="16:18" x14ac:dyDescent="0.35">
      <c r="P25" s="399"/>
      <c r="Q25" s="376" t="s">
        <v>297</v>
      </c>
      <c r="R25" s="385">
        <f>'[1]Duel tireur GB joueuse'!K153/'[1]Duel tireur GB joueuse'!$K$169</f>
        <v>0</v>
      </c>
    </row>
    <row r="26" spans="16:18" x14ac:dyDescent="0.35">
      <c r="P26" s="399"/>
      <c r="Q26" s="376" t="s">
        <v>296</v>
      </c>
      <c r="R26" s="385">
        <f>'[1]Duel tireur GB joueuse'!K154/'[1]Duel tireur GB joueuse'!$K$169</f>
        <v>0.25</v>
      </c>
    </row>
    <row r="27" spans="16:18" x14ac:dyDescent="0.35">
      <c r="P27" s="399"/>
      <c r="Q27" s="376" t="s">
        <v>298</v>
      </c>
      <c r="R27" s="385">
        <f>'[1]Duel tireur GB joueuse'!K155/'[1]Duel tireur GB joueuse'!$K$169</f>
        <v>0</v>
      </c>
    </row>
    <row r="28" spans="16:18" x14ac:dyDescent="0.35">
      <c r="P28" s="399"/>
      <c r="Q28" s="376" t="s">
        <v>283</v>
      </c>
      <c r="R28" s="385">
        <f>'[1]Duel tireur GB joueuse'!K156/'[1]Duel tireur GB joueuse'!$K$169</f>
        <v>0</v>
      </c>
    </row>
    <row r="29" spans="16:18" x14ac:dyDescent="0.35">
      <c r="P29" s="403"/>
      <c r="Q29" s="377" t="s">
        <v>17</v>
      </c>
      <c r="R29" s="385">
        <f>'[1]Duel tireur GB joueuse'!K157/'[1]Duel tireur GB joueuse'!$K$169</f>
        <v>0</v>
      </c>
    </row>
    <row r="30" spans="16:18" x14ac:dyDescent="0.35">
      <c r="P30" s="404" t="s">
        <v>458</v>
      </c>
      <c r="Q30" s="405"/>
      <c r="R30" s="385">
        <f>('[1]Duel tireur GB joueuse'!K158+'[1]Duel tireur GB joueuse'!K161)/'[1]Duel tireur GB joueuse'!$K$169</f>
        <v>0.25</v>
      </c>
    </row>
    <row r="31" spans="16:18" x14ac:dyDescent="0.35">
      <c r="P31" s="404" t="s">
        <v>459</v>
      </c>
      <c r="Q31" s="405"/>
      <c r="R31" s="385">
        <f>('[1]Duel tireur GB joueuse'!K159+'[1]Duel tireur GB joueuse'!K162)/'[1]Duel tireur GB joueuse'!$K$169</f>
        <v>0.25</v>
      </c>
    </row>
    <row r="32" spans="16:18" x14ac:dyDescent="0.35">
      <c r="P32" s="404" t="s">
        <v>460</v>
      </c>
      <c r="Q32" s="405"/>
      <c r="R32" s="385">
        <f>('[1]Duel tireur GB joueuse'!K160+'[1]Duel tireur GB joueuse'!K163)/'[1]Duel tireur GB joueuse'!$K$169</f>
        <v>0</v>
      </c>
    </row>
    <row r="33" spans="16:19" x14ac:dyDescent="0.35">
      <c r="P33" s="398" t="s">
        <v>146</v>
      </c>
      <c r="Q33" s="379" t="s">
        <v>307</v>
      </c>
      <c r="R33" s="385">
        <f>'[1]Duel tireur GB joueuse'!K164/'[1]Duel tireur GB joueuse'!$K$169</f>
        <v>0</v>
      </c>
    </row>
    <row r="34" spans="16:19" x14ac:dyDescent="0.35">
      <c r="P34" s="399"/>
      <c r="Q34" s="376" t="s">
        <v>308</v>
      </c>
      <c r="R34" s="385">
        <f>'[1]Duel tireur GB joueuse'!K165/'[1]Duel tireur GB joueuse'!$K$169</f>
        <v>0.25</v>
      </c>
    </row>
    <row r="35" spans="16:19" ht="15" thickBot="1" x14ac:dyDescent="0.4">
      <c r="P35" s="400"/>
      <c r="Q35" s="376" t="s">
        <v>309</v>
      </c>
      <c r="R35" s="385">
        <f>'[1]Duel tireur GB joueuse'!K166/'[1]Duel tireur GB joueuse'!$K$169</f>
        <v>0</v>
      </c>
    </row>
    <row r="36" spans="16:19" x14ac:dyDescent="0.35">
      <c r="P36" s="380"/>
      <c r="Q36" s="376" t="s">
        <v>22</v>
      </c>
      <c r="R36" s="385">
        <f>'[1]Duel tireur GB joueuse'!K167/'[1]Duel tireur GB joueuse'!$K$169</f>
        <v>0</v>
      </c>
    </row>
    <row r="37" spans="16:19" ht="15" thickBot="1" x14ac:dyDescent="0.4">
      <c r="P37" s="381"/>
      <c r="Q37" s="382" t="s">
        <v>12</v>
      </c>
      <c r="R37" s="385">
        <f>'[1]Duel tireur GB joueuse'!K168/'[1]Duel tireur GB joueuse'!$K$169</f>
        <v>0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joueuse'!L158+'[1]Duel tireur GB joueuse'!L161)/2</f>
        <v>#DIV/0!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joueuse'!L159+'[1]Duel tireur GB joueuse'!L162)/2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joueuse'!L160+'[1]Duel tireur GB joueuse'!L163)/2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 t="e">
        <f>'[1]Duel tireur GB joueuse'!L151</f>
        <v>#DIV/0!</v>
      </c>
    </row>
    <row r="46" spans="16:19" x14ac:dyDescent="0.35">
      <c r="P46" s="399"/>
      <c r="Q46" s="375" t="s">
        <v>282</v>
      </c>
      <c r="R46" s="388" t="e">
        <f>'[1]Duel tireur GB joueuse'!L152</f>
        <v>#DIV/0!</v>
      </c>
    </row>
    <row r="47" spans="16:19" x14ac:dyDescent="0.35">
      <c r="P47" s="399"/>
      <c r="Q47" s="375" t="s">
        <v>297</v>
      </c>
      <c r="R47" s="388" t="e">
        <f>'[1]Duel tireur GB joueuse'!L153</f>
        <v>#DIV/0!</v>
      </c>
    </row>
    <row r="48" spans="16:19" x14ac:dyDescent="0.35">
      <c r="P48" s="399"/>
      <c r="Q48" s="375" t="s">
        <v>296</v>
      </c>
      <c r="R48" s="388">
        <f>'[1]Duel tireur GB joueuse'!L154</f>
        <v>1</v>
      </c>
    </row>
    <row r="49" spans="16:18" x14ac:dyDescent="0.35">
      <c r="P49" s="399"/>
      <c r="Q49" s="375" t="s">
        <v>298</v>
      </c>
      <c r="R49" s="388" t="e">
        <f>'[1]Duel tireur GB joueuse'!L155</f>
        <v>#DIV/0!</v>
      </c>
    </row>
    <row r="50" spans="16:18" x14ac:dyDescent="0.35">
      <c r="P50" s="399"/>
      <c r="Q50" s="375" t="s">
        <v>283</v>
      </c>
      <c r="R50" s="388" t="e">
        <f>'[1]Duel tireur GB joueuse'!L156</f>
        <v>#DIV/0!</v>
      </c>
    </row>
    <row r="51" spans="16:18" x14ac:dyDescent="0.35">
      <c r="P51" s="403"/>
      <c r="Q51" s="352" t="s">
        <v>17</v>
      </c>
      <c r="R51" s="388" t="e">
        <f>'[1]Duel tireur GB joueuse'!L157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joueuse'!L164</f>
        <v>#DIV/0!</v>
      </c>
    </row>
    <row r="53" spans="16:18" x14ac:dyDescent="0.35">
      <c r="P53" s="399"/>
      <c r="Q53" s="375" t="s">
        <v>308</v>
      </c>
      <c r="R53" s="389">
        <f>'[1]Duel tireur GB joueuse'!L165</f>
        <v>0</v>
      </c>
    </row>
    <row r="54" spans="16:18" ht="15" thickBot="1" x14ac:dyDescent="0.4">
      <c r="P54" s="400"/>
      <c r="Q54" s="375" t="s">
        <v>309</v>
      </c>
      <c r="R54" s="389" t="e">
        <f>'[1]Duel tireur GB joueuse'!L166</f>
        <v>#DIV/0!</v>
      </c>
    </row>
    <row r="55" spans="16:18" x14ac:dyDescent="0.35">
      <c r="P55" s="380"/>
      <c r="Q55" s="375" t="s">
        <v>22</v>
      </c>
      <c r="R55" s="389" t="e">
        <f>'[1]Duel tireur GB joueuse'!L167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joueuse'!L168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01E8CA-C641-40DA-B11C-01ABDB259721}">
  <sheetPr codeName="Feuil1"/>
  <dimension ref="P3:S58"/>
  <sheetViews>
    <sheetView topLeftCell="A27" zoomScale="83" workbookViewId="0">
      <selection activeCell="M24" sqref="M24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joueuse'!K51</f>
        <v>0</v>
      </c>
    </row>
    <row r="5" spans="16:18" x14ac:dyDescent="0.35">
      <c r="P5" s="399"/>
      <c r="Q5" s="376" t="s">
        <v>282</v>
      </c>
      <c r="R5" s="374">
        <f>'[1]Duel tireur GB joueuse'!K52</f>
        <v>0</v>
      </c>
    </row>
    <row r="6" spans="16:18" x14ac:dyDescent="0.35">
      <c r="P6" s="399"/>
      <c r="Q6" s="376" t="s">
        <v>297</v>
      </c>
      <c r="R6" s="374">
        <f>'[1]Duel tireur GB joueuse'!K53</f>
        <v>0</v>
      </c>
    </row>
    <row r="7" spans="16:18" x14ac:dyDescent="0.35">
      <c r="P7" s="399"/>
      <c r="Q7" s="376" t="s">
        <v>296</v>
      </c>
      <c r="R7" s="374">
        <f>'[1]Duel tireur GB joueuse'!K54</f>
        <v>0</v>
      </c>
    </row>
    <row r="8" spans="16:18" x14ac:dyDescent="0.35">
      <c r="P8" s="399"/>
      <c r="Q8" s="376" t="s">
        <v>298</v>
      </c>
      <c r="R8" s="374">
        <f>'[1]Duel tireur GB joueuse'!K55</f>
        <v>0</v>
      </c>
    </row>
    <row r="9" spans="16:18" x14ac:dyDescent="0.35">
      <c r="P9" s="399"/>
      <c r="Q9" s="376" t="s">
        <v>283</v>
      </c>
      <c r="R9" s="374">
        <f>'[1]Duel tireur GB joueuse'!K56</f>
        <v>0</v>
      </c>
    </row>
    <row r="10" spans="16:18" x14ac:dyDescent="0.35">
      <c r="P10" s="403"/>
      <c r="Q10" s="377" t="s">
        <v>17</v>
      </c>
      <c r="R10" s="374">
        <f>'[1]Duel tireur GB joueuse'!K57</f>
        <v>3</v>
      </c>
    </row>
    <row r="11" spans="16:18" x14ac:dyDescent="0.35">
      <c r="P11" s="404" t="s">
        <v>458</v>
      </c>
      <c r="Q11" s="405"/>
      <c r="R11" s="374">
        <f>('[1]Duel tireur GB joueuse'!K58+'[1]Duel tireur GB joueuse'!K61)</f>
        <v>0</v>
      </c>
    </row>
    <row r="12" spans="16:18" x14ac:dyDescent="0.35">
      <c r="P12" s="404" t="s">
        <v>459</v>
      </c>
      <c r="Q12" s="405"/>
      <c r="R12" s="374">
        <f>('[1]Duel tireur GB joueuse'!K59+'[1]Duel tireur GB joueuse'!K62)</f>
        <v>0</v>
      </c>
    </row>
    <row r="13" spans="16:18" x14ac:dyDescent="0.35">
      <c r="P13" s="404" t="s">
        <v>460</v>
      </c>
      <c r="Q13" s="405"/>
      <c r="R13" s="374">
        <f>('[1]Duel tireur GB joueuse'!K60+'[1]Duel tireur GB joueuse'!K63)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joueuse'!K64</f>
        <v>0</v>
      </c>
    </row>
    <row r="15" spans="16:18" x14ac:dyDescent="0.35">
      <c r="P15" s="399"/>
      <c r="Q15" s="376" t="s">
        <v>308</v>
      </c>
      <c r="R15" s="374">
        <f>'[1]Duel tireur GB joueuse'!K65</f>
        <v>0</v>
      </c>
    </row>
    <row r="16" spans="16:18" ht="15" thickBot="1" x14ac:dyDescent="0.4">
      <c r="P16" s="400"/>
      <c r="Q16" s="376" t="s">
        <v>309</v>
      </c>
      <c r="R16" s="374">
        <f>'[1]Duel tireur GB joueuse'!K66</f>
        <v>0</v>
      </c>
    </row>
    <row r="17" spans="16:18" x14ac:dyDescent="0.35">
      <c r="P17" s="380"/>
      <c r="Q17" s="376" t="s">
        <v>22</v>
      </c>
      <c r="R17" s="374">
        <f>'[1]Duel tireur GB joueuse'!K67</f>
        <v>0</v>
      </c>
    </row>
    <row r="18" spans="16:18" ht="15" thickBot="1" x14ac:dyDescent="0.4">
      <c r="P18" s="381"/>
      <c r="Q18" s="382" t="s">
        <v>12</v>
      </c>
      <c r="R18" s="374">
        <f>'[1]Duel tireur GB joueuse'!K68</f>
        <v>2</v>
      </c>
    </row>
    <row r="19" spans="16:18" x14ac:dyDescent="0.35">
      <c r="Q19" s="383" t="s">
        <v>461</v>
      </c>
      <c r="R19" s="384">
        <f>SUM(R4:R18)</f>
        <v>5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joueuse'!K51/'[1]Duel tireur GB joueuse'!$K$69</f>
        <v>0</v>
      </c>
    </row>
    <row r="24" spans="16:18" x14ac:dyDescent="0.35">
      <c r="P24" s="399"/>
      <c r="Q24" s="376" t="s">
        <v>282</v>
      </c>
      <c r="R24" s="385">
        <f>'[1]Duel tireur GB joueuse'!K52/'[1]Duel tireur GB joueuse'!$K$69</f>
        <v>0</v>
      </c>
    </row>
    <row r="25" spans="16:18" x14ac:dyDescent="0.35">
      <c r="P25" s="399"/>
      <c r="Q25" s="376" t="s">
        <v>297</v>
      </c>
      <c r="R25" s="385">
        <f>'[1]Duel tireur GB joueuse'!K53/'[1]Duel tireur GB joueuse'!$K$69</f>
        <v>0</v>
      </c>
    </row>
    <row r="26" spans="16:18" x14ac:dyDescent="0.35">
      <c r="P26" s="399"/>
      <c r="Q26" s="376" t="s">
        <v>296</v>
      </c>
      <c r="R26" s="385">
        <f>'[1]Duel tireur GB joueuse'!K54/'[1]Duel tireur GB joueuse'!$K$69</f>
        <v>0</v>
      </c>
    </row>
    <row r="27" spans="16:18" x14ac:dyDescent="0.35">
      <c r="P27" s="399"/>
      <c r="Q27" s="376" t="s">
        <v>298</v>
      </c>
      <c r="R27" s="385">
        <f>'[1]Duel tireur GB joueuse'!K55/'[1]Duel tireur GB joueuse'!$K$69</f>
        <v>0</v>
      </c>
    </row>
    <row r="28" spans="16:18" x14ac:dyDescent="0.35">
      <c r="P28" s="399"/>
      <c r="Q28" s="376" t="s">
        <v>283</v>
      </c>
      <c r="R28" s="385">
        <f>'[1]Duel tireur GB joueuse'!K56/'[1]Duel tireur GB joueuse'!$K$69</f>
        <v>0</v>
      </c>
    </row>
    <row r="29" spans="16:18" x14ac:dyDescent="0.35">
      <c r="P29" s="403"/>
      <c r="Q29" s="377" t="s">
        <v>17</v>
      </c>
      <c r="R29" s="385">
        <f>'[1]Duel tireur GB joueuse'!K57/'[1]Duel tireur GB joueuse'!$K$69</f>
        <v>0.6</v>
      </c>
    </row>
    <row r="30" spans="16:18" x14ac:dyDescent="0.35">
      <c r="P30" s="404" t="s">
        <v>458</v>
      </c>
      <c r="Q30" s="405"/>
      <c r="R30" s="385">
        <f>('[1]Duel tireur GB joueuse'!K58+'[1]Duel tireur GB joueuse'!K61)/'[1]Duel tireur GB joueuse'!$K$69</f>
        <v>0</v>
      </c>
    </row>
    <row r="31" spans="16:18" x14ac:dyDescent="0.35">
      <c r="P31" s="404" t="s">
        <v>459</v>
      </c>
      <c r="Q31" s="405"/>
      <c r="R31" s="385">
        <f>('[1]Duel tireur GB joueuse'!K59+'[1]Duel tireur GB joueuse'!K62)/'[1]Duel tireur GB joueuse'!$K$69</f>
        <v>0</v>
      </c>
    </row>
    <row r="32" spans="16:18" x14ac:dyDescent="0.35">
      <c r="P32" s="404" t="s">
        <v>460</v>
      </c>
      <c r="Q32" s="405"/>
      <c r="R32" s="385">
        <f>('[1]Duel tireur GB joueuse'!K60+'[1]Duel tireur GB joueuse'!K63)/'[1]Duel tireur GB joueuse'!$K$69</f>
        <v>0</v>
      </c>
    </row>
    <row r="33" spans="16:19" x14ac:dyDescent="0.35">
      <c r="P33" s="398" t="s">
        <v>146</v>
      </c>
      <c r="Q33" s="379" t="s">
        <v>307</v>
      </c>
      <c r="R33" s="385">
        <f>'[1]Duel tireur GB joueuse'!K64/'[1]Duel tireur GB joueuse'!$K$69</f>
        <v>0</v>
      </c>
    </row>
    <row r="34" spans="16:19" x14ac:dyDescent="0.35">
      <c r="P34" s="399"/>
      <c r="Q34" s="376" t="s">
        <v>308</v>
      </c>
      <c r="R34" s="385">
        <f>'[1]Duel tireur GB joueuse'!K65/'[1]Duel tireur GB joueuse'!$K$69</f>
        <v>0</v>
      </c>
    </row>
    <row r="35" spans="16:19" ht="15" thickBot="1" x14ac:dyDescent="0.4">
      <c r="P35" s="400"/>
      <c r="Q35" s="376" t="s">
        <v>309</v>
      </c>
      <c r="R35" s="385">
        <f>'[1]Duel tireur GB joueuse'!K66/'[1]Duel tireur GB joueuse'!$K$69</f>
        <v>0</v>
      </c>
    </row>
    <row r="36" spans="16:19" x14ac:dyDescent="0.35">
      <c r="P36" s="380"/>
      <c r="Q36" s="376" t="s">
        <v>22</v>
      </c>
      <c r="R36" s="385">
        <f>'[1]Duel tireur GB joueuse'!K67/'[1]Duel tireur GB joueuse'!$K$69</f>
        <v>0</v>
      </c>
    </row>
    <row r="37" spans="16:19" ht="15" thickBot="1" x14ac:dyDescent="0.4">
      <c r="P37" s="381"/>
      <c r="Q37" s="382" t="s">
        <v>12</v>
      </c>
      <c r="R37" s="385">
        <f>'[1]Duel tireur GB joueuse'!K68/'[1]Duel tireur GB joueuse'!$K$69</f>
        <v>0.4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joueuse'!L58+'[1]Duel tireur GB joueuse'!L61)/2</f>
        <v>#DIV/0!</v>
      </c>
      <c r="S42" s="411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joueuse'!L59+'[1]Duel tireur GB joueuse'!L62)/2</f>
        <v>#DIV/0!</v>
      </c>
      <c r="S43" s="411"/>
    </row>
    <row r="44" spans="16:19" x14ac:dyDescent="0.35">
      <c r="P44" s="404" t="s">
        <v>460</v>
      </c>
      <c r="Q44" s="410"/>
      <c r="R44" s="394" t="e">
        <f>('[1]Duel tireur GB joueuse'!L60+'[1]Duel tireur GB joueuse'!L63)/2</f>
        <v>#DIV/0!</v>
      </c>
      <c r="S44" s="411"/>
    </row>
    <row r="45" spans="16:19" x14ac:dyDescent="0.35">
      <c r="P45" s="398" t="s">
        <v>295</v>
      </c>
      <c r="Q45" s="378" t="s">
        <v>15</v>
      </c>
      <c r="R45" s="388" t="e">
        <f>'[1]Duel tireur GB joueuse'!L51</f>
        <v>#DIV/0!</v>
      </c>
    </row>
    <row r="46" spans="16:19" x14ac:dyDescent="0.35">
      <c r="P46" s="399"/>
      <c r="Q46" s="375" t="s">
        <v>282</v>
      </c>
      <c r="R46" s="388" t="e">
        <f>'[1]Duel tireur GB joueuse'!L52</f>
        <v>#DIV/0!</v>
      </c>
    </row>
    <row r="47" spans="16:19" x14ac:dyDescent="0.35">
      <c r="P47" s="399"/>
      <c r="Q47" s="375" t="s">
        <v>297</v>
      </c>
      <c r="R47" s="388" t="e">
        <f>'[1]Duel tireur GB joueuse'!L53</f>
        <v>#DIV/0!</v>
      </c>
    </row>
    <row r="48" spans="16:19" x14ac:dyDescent="0.35">
      <c r="P48" s="399"/>
      <c r="Q48" s="375" t="s">
        <v>296</v>
      </c>
      <c r="R48" s="388" t="e">
        <f>'[1]Duel tireur GB joueuse'!L54</f>
        <v>#DIV/0!</v>
      </c>
    </row>
    <row r="49" spans="16:18" x14ac:dyDescent="0.35">
      <c r="P49" s="399"/>
      <c r="Q49" s="375" t="s">
        <v>298</v>
      </c>
      <c r="R49" s="388" t="e">
        <f>'[1]Duel tireur GB joueuse'!L55</f>
        <v>#DIV/0!</v>
      </c>
    </row>
    <row r="50" spans="16:18" x14ac:dyDescent="0.35">
      <c r="P50" s="399"/>
      <c r="Q50" s="375" t="s">
        <v>283</v>
      </c>
      <c r="R50" s="388" t="e">
        <f>'[1]Duel tireur GB joueuse'!L56</f>
        <v>#DIV/0!</v>
      </c>
    </row>
    <row r="51" spans="16:18" x14ac:dyDescent="0.35">
      <c r="P51" s="403"/>
      <c r="Q51" s="352" t="s">
        <v>17</v>
      </c>
      <c r="R51" s="388">
        <f>'[1]Duel tireur GB joueuse'!L57</f>
        <v>1</v>
      </c>
    </row>
    <row r="52" spans="16:18" x14ac:dyDescent="0.35">
      <c r="P52" s="398" t="s">
        <v>146</v>
      </c>
      <c r="Q52" s="378" t="s">
        <v>307</v>
      </c>
      <c r="R52" s="389" t="e">
        <f>'[1]Duel tireur GB joueuse'!L64</f>
        <v>#DIV/0!</v>
      </c>
    </row>
    <row r="53" spans="16:18" x14ac:dyDescent="0.35">
      <c r="P53" s="399"/>
      <c r="Q53" s="375" t="s">
        <v>308</v>
      </c>
      <c r="R53" s="389" t="e">
        <f>'[1]Duel tireur GB joueuse'!L65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joueuse'!L66</f>
        <v>#DIV/0!</v>
      </c>
    </row>
    <row r="55" spans="16:18" x14ac:dyDescent="0.35">
      <c r="P55" s="380"/>
      <c r="Q55" s="375" t="s">
        <v>22</v>
      </c>
      <c r="R55" s="389" t="e">
        <f>'[1]Duel tireur GB joueuse'!L67</f>
        <v>#DIV/0!</v>
      </c>
    </row>
    <row r="56" spans="16:18" ht="15" thickBot="1" x14ac:dyDescent="0.4">
      <c r="P56" s="381"/>
      <c r="Q56" s="143" t="s">
        <v>12</v>
      </c>
      <c r="R56" s="389">
        <f>'[1]Duel tireur GB joueuse'!L68</f>
        <v>0.5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214B5E-BB42-4F9B-B7EC-2E2F424DBDEB}">
  <sheetPr codeName="Feuil2"/>
  <dimension ref="P3:S58"/>
  <sheetViews>
    <sheetView zoomScale="75" workbookViewId="0">
      <selection activeCell="J18" sqref="J18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joueuse'!K250</f>
        <v>0</v>
      </c>
    </row>
    <row r="5" spans="16:18" x14ac:dyDescent="0.35">
      <c r="P5" s="399"/>
      <c r="Q5" s="376" t="s">
        <v>282</v>
      </c>
      <c r="R5" s="374">
        <f>'[1]Duel tireur GB joueuse'!K251</f>
        <v>0</v>
      </c>
    </row>
    <row r="6" spans="16:18" x14ac:dyDescent="0.35">
      <c r="P6" s="399"/>
      <c r="Q6" s="376" t="s">
        <v>297</v>
      </c>
      <c r="R6" s="374">
        <f>'[1]Duel tireur GB joueuse'!K252</f>
        <v>0</v>
      </c>
    </row>
    <row r="7" spans="16:18" x14ac:dyDescent="0.35">
      <c r="P7" s="399"/>
      <c r="Q7" s="376" t="s">
        <v>296</v>
      </c>
      <c r="R7" s="374">
        <f>'[1]Duel tireur GB joueuse'!K253</f>
        <v>0</v>
      </c>
    </row>
    <row r="8" spans="16:18" x14ac:dyDescent="0.35">
      <c r="P8" s="399"/>
      <c r="Q8" s="376" t="s">
        <v>298</v>
      </c>
      <c r="R8" s="374">
        <f>'[1]Duel tireur GB joueuse'!K254</f>
        <v>0</v>
      </c>
    </row>
    <row r="9" spans="16:18" x14ac:dyDescent="0.35">
      <c r="P9" s="399"/>
      <c r="Q9" s="376" t="s">
        <v>283</v>
      </c>
      <c r="R9" s="374">
        <f>'[1]Duel tireur GB joueuse'!K255</f>
        <v>0</v>
      </c>
    </row>
    <row r="10" spans="16:18" x14ac:dyDescent="0.35">
      <c r="P10" s="403"/>
      <c r="Q10" s="377" t="s">
        <v>17</v>
      </c>
      <c r="R10" s="374">
        <f>'[1]Duel tireur GB joueuse'!K256</f>
        <v>0</v>
      </c>
    </row>
    <row r="11" spans="16:18" x14ac:dyDescent="0.35">
      <c r="P11" s="404" t="s">
        <v>458</v>
      </c>
      <c r="Q11" s="405"/>
      <c r="R11" s="374">
        <f>('[1]Duel tireur GB joueuse'!K257+'[1]Duel tireur GB joueuse'!K260)</f>
        <v>0</v>
      </c>
    </row>
    <row r="12" spans="16:18" x14ac:dyDescent="0.35">
      <c r="P12" s="404" t="s">
        <v>459</v>
      </c>
      <c r="Q12" s="405"/>
      <c r="R12" s="374">
        <f>('[1]Duel tireur GB joueuse'!K258+'[1]Duel tireur GB joueuse'!K261)</f>
        <v>0</v>
      </c>
    </row>
    <row r="13" spans="16:18" x14ac:dyDescent="0.35">
      <c r="P13" s="404" t="s">
        <v>460</v>
      </c>
      <c r="Q13" s="405"/>
      <c r="R13" s="374">
        <f>('[1]Duel tireur GB joueuse'!K259+'[1]Duel tireur GB joueuse'!K262)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joueuse'!K263</f>
        <v>0</v>
      </c>
    </row>
    <row r="15" spans="16:18" x14ac:dyDescent="0.35">
      <c r="P15" s="399"/>
      <c r="Q15" s="376" t="s">
        <v>308</v>
      </c>
      <c r="R15" s="374">
        <f>'[1]Duel tireur GB joueuse'!K264</f>
        <v>0</v>
      </c>
    </row>
    <row r="16" spans="16:18" ht="15" thickBot="1" x14ac:dyDescent="0.4">
      <c r="P16" s="400"/>
      <c r="Q16" s="376" t="s">
        <v>309</v>
      </c>
      <c r="R16" s="374">
        <f>'[1]Duel tireur GB joueuse'!K265</f>
        <v>0</v>
      </c>
    </row>
    <row r="17" spans="16:18" x14ac:dyDescent="0.35">
      <c r="P17" s="380"/>
      <c r="Q17" s="376" t="s">
        <v>22</v>
      </c>
      <c r="R17" s="374">
        <f>'[1]Duel tireur GB joueuse'!K266</f>
        <v>0</v>
      </c>
    </row>
    <row r="18" spans="16:18" ht="15" thickBot="1" x14ac:dyDescent="0.4">
      <c r="P18" s="381"/>
      <c r="Q18" s="382" t="s">
        <v>12</v>
      </c>
      <c r="R18" s="374">
        <f>'[1]Duel tireur GB joueuse'!K267</f>
        <v>0</v>
      </c>
    </row>
    <row r="19" spans="16:18" x14ac:dyDescent="0.35">
      <c r="Q19" s="383" t="s">
        <v>461</v>
      </c>
      <c r="R19" s="384">
        <f>SUM(R4:R18)</f>
        <v>0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 t="e">
        <f>'[1]Duel tireur GB joueuse'!K250/'[1]Duel tireur GB joueuse'!$K$268</f>
        <v>#DIV/0!</v>
      </c>
    </row>
    <row r="24" spans="16:18" x14ac:dyDescent="0.35">
      <c r="P24" s="399"/>
      <c r="Q24" s="376" t="s">
        <v>282</v>
      </c>
      <c r="R24" s="385" t="e">
        <f>'[1]Duel tireur GB joueuse'!K251/'[1]Duel tireur GB joueuse'!$K$268</f>
        <v>#DIV/0!</v>
      </c>
    </row>
    <row r="25" spans="16:18" x14ac:dyDescent="0.35">
      <c r="P25" s="399"/>
      <c r="Q25" s="376" t="s">
        <v>297</v>
      </c>
      <c r="R25" s="385" t="e">
        <f>'[1]Duel tireur GB joueuse'!K252/'[1]Duel tireur GB joueuse'!$K$268</f>
        <v>#DIV/0!</v>
      </c>
    </row>
    <row r="26" spans="16:18" x14ac:dyDescent="0.35">
      <c r="P26" s="399"/>
      <c r="Q26" s="376" t="s">
        <v>296</v>
      </c>
      <c r="R26" s="385" t="e">
        <f>'[1]Duel tireur GB joueuse'!K253/'[1]Duel tireur GB joueuse'!$K$268</f>
        <v>#DIV/0!</v>
      </c>
    </row>
    <row r="27" spans="16:18" x14ac:dyDescent="0.35">
      <c r="P27" s="399"/>
      <c r="Q27" s="376" t="s">
        <v>298</v>
      </c>
      <c r="R27" s="385" t="e">
        <f>'[1]Duel tireur GB joueuse'!K254/'[1]Duel tireur GB joueuse'!$K$268</f>
        <v>#DIV/0!</v>
      </c>
    </row>
    <row r="28" spans="16:18" x14ac:dyDescent="0.35">
      <c r="P28" s="399"/>
      <c r="Q28" s="376" t="s">
        <v>283</v>
      </c>
      <c r="R28" s="385" t="e">
        <f>'[1]Duel tireur GB joueuse'!K255/'[1]Duel tireur GB joueuse'!$K$268</f>
        <v>#DIV/0!</v>
      </c>
    </row>
    <row r="29" spans="16:18" x14ac:dyDescent="0.35">
      <c r="P29" s="403"/>
      <c r="Q29" s="377" t="s">
        <v>17</v>
      </c>
      <c r="R29" s="385" t="e">
        <f>'[1]Duel tireur GB joueuse'!K256/'[1]Duel tireur GB joueuse'!$K$268</f>
        <v>#DIV/0!</v>
      </c>
    </row>
    <row r="30" spans="16:18" x14ac:dyDescent="0.35">
      <c r="P30" s="404" t="s">
        <v>458</v>
      </c>
      <c r="Q30" s="405"/>
      <c r="R30" s="385" t="e">
        <f>('[1]Duel tireur GB joueuse'!K257+'[1]Duel tireur GB joueuse'!K260)/'[1]Duel tireur GB joueuse'!$K$268</f>
        <v>#DIV/0!</v>
      </c>
    </row>
    <row r="31" spans="16:18" x14ac:dyDescent="0.35">
      <c r="P31" s="404" t="s">
        <v>459</v>
      </c>
      <c r="Q31" s="405"/>
      <c r="R31" s="385" t="e">
        <f>('[1]Duel tireur GB joueuse'!K258+'[1]Duel tireur GB joueuse'!K261)/'[1]Duel tireur GB joueuse'!$K$268</f>
        <v>#DIV/0!</v>
      </c>
    </row>
    <row r="32" spans="16:18" x14ac:dyDescent="0.35">
      <c r="P32" s="404" t="s">
        <v>460</v>
      </c>
      <c r="Q32" s="405"/>
      <c r="R32" s="385" t="e">
        <f>('[1]Duel tireur GB joueuse'!K259+'[1]Duel tireur GB joueuse'!K262)/'[1]Duel tireur GB joueuse'!$K$268</f>
        <v>#DIV/0!</v>
      </c>
    </row>
    <row r="33" spans="16:19" x14ac:dyDescent="0.35">
      <c r="P33" s="398" t="s">
        <v>146</v>
      </c>
      <c r="Q33" s="379" t="s">
        <v>307</v>
      </c>
      <c r="R33" s="385" t="e">
        <f>'[1]Duel tireur GB joueuse'!K263/'[1]Duel tireur GB joueuse'!$K$268</f>
        <v>#DIV/0!</v>
      </c>
    </row>
    <row r="34" spans="16:19" x14ac:dyDescent="0.35">
      <c r="P34" s="399"/>
      <c r="Q34" s="376" t="s">
        <v>308</v>
      </c>
      <c r="R34" s="385" t="e">
        <f>'[1]Duel tireur GB joueuse'!K264/'[1]Duel tireur GB joueuse'!$K$268</f>
        <v>#DIV/0!</v>
      </c>
    </row>
    <row r="35" spans="16:19" ht="15" thickBot="1" x14ac:dyDescent="0.4">
      <c r="P35" s="400"/>
      <c r="Q35" s="376" t="s">
        <v>309</v>
      </c>
      <c r="R35" s="385" t="e">
        <f>'[1]Duel tireur GB joueuse'!K265/'[1]Duel tireur GB joueuse'!$K$268</f>
        <v>#DIV/0!</v>
      </c>
    </row>
    <row r="36" spans="16:19" x14ac:dyDescent="0.35">
      <c r="P36" s="380"/>
      <c r="Q36" s="376" t="s">
        <v>22</v>
      </c>
      <c r="R36" s="385" t="e">
        <f>'[1]Duel tireur GB joueuse'!K266/'[1]Duel tireur GB joueuse'!$K$268</f>
        <v>#DIV/0!</v>
      </c>
    </row>
    <row r="37" spans="16:19" ht="15" thickBot="1" x14ac:dyDescent="0.4">
      <c r="P37" s="381"/>
      <c r="Q37" s="382" t="s">
        <v>12</v>
      </c>
      <c r="R37" s="385" t="e">
        <f>'[1]Duel tireur GB joueuse'!K267/'[1]Duel tireur GB joueuse'!$K$268</f>
        <v>#DIV/0!</v>
      </c>
    </row>
    <row r="38" spans="16:19" x14ac:dyDescent="0.35">
      <c r="Q38" s="383" t="s">
        <v>461</v>
      </c>
      <c r="R38" s="386" t="e">
        <f>SUM(R23:R37)</f>
        <v>#DIV/0!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joueuse'!L257+'[1]Duel tireur GB joueuse'!L260)/2</f>
        <v>#DIV/0!</v>
      </c>
      <c r="S42" s="411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joueuse'!L258+'[1]Duel tireur GB joueuse'!L261)/2</f>
        <v>#DIV/0!</v>
      </c>
      <c r="S43" s="411"/>
    </row>
    <row r="44" spans="16:19" x14ac:dyDescent="0.35">
      <c r="P44" s="404" t="s">
        <v>460</v>
      </c>
      <c r="Q44" s="410"/>
      <c r="R44" s="394" t="e">
        <f>('[1]Duel tireur GB joueuse'!L259+'[1]Duel tireur GB joueuse'!L262)/2</f>
        <v>#DIV/0!</v>
      </c>
      <c r="S44" s="411"/>
    </row>
    <row r="45" spans="16:19" x14ac:dyDescent="0.35">
      <c r="P45" s="398" t="s">
        <v>295</v>
      </c>
      <c r="Q45" s="378" t="s">
        <v>15</v>
      </c>
      <c r="R45" s="388" t="e">
        <f>'[1]Duel tireur GB joueuse'!L250</f>
        <v>#DIV/0!</v>
      </c>
    </row>
    <row r="46" spans="16:19" x14ac:dyDescent="0.35">
      <c r="P46" s="399"/>
      <c r="Q46" s="375" t="s">
        <v>282</v>
      </c>
      <c r="R46" s="388" t="e">
        <f>'[1]Duel tireur GB joueuse'!L251</f>
        <v>#DIV/0!</v>
      </c>
    </row>
    <row r="47" spans="16:19" x14ac:dyDescent="0.35">
      <c r="P47" s="399"/>
      <c r="Q47" s="375" t="s">
        <v>297</v>
      </c>
      <c r="R47" s="388" t="e">
        <f>'[1]Duel tireur GB joueuse'!L252</f>
        <v>#DIV/0!</v>
      </c>
    </row>
    <row r="48" spans="16:19" x14ac:dyDescent="0.35">
      <c r="P48" s="399"/>
      <c r="Q48" s="375" t="s">
        <v>296</v>
      </c>
      <c r="R48" s="388" t="e">
        <f>'[1]Duel tireur GB joueuse'!L253</f>
        <v>#DIV/0!</v>
      </c>
    </row>
    <row r="49" spans="16:18" x14ac:dyDescent="0.35">
      <c r="P49" s="399"/>
      <c r="Q49" s="375" t="s">
        <v>298</v>
      </c>
      <c r="R49" s="388" t="e">
        <f>'[1]Duel tireur GB joueuse'!L254</f>
        <v>#DIV/0!</v>
      </c>
    </row>
    <row r="50" spans="16:18" x14ac:dyDescent="0.35">
      <c r="P50" s="399"/>
      <c r="Q50" s="375" t="s">
        <v>283</v>
      </c>
      <c r="R50" s="388" t="e">
        <f>'[1]Duel tireur GB joueuse'!L255</f>
        <v>#DIV/0!</v>
      </c>
    </row>
    <row r="51" spans="16:18" x14ac:dyDescent="0.35">
      <c r="P51" s="403"/>
      <c r="Q51" s="352" t="s">
        <v>17</v>
      </c>
      <c r="R51" s="388" t="e">
        <f>'[1]Duel tireur GB joueuse'!L256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joueuse'!L263</f>
        <v>#DIV/0!</v>
      </c>
    </row>
    <row r="53" spans="16:18" x14ac:dyDescent="0.35">
      <c r="P53" s="399"/>
      <c r="Q53" s="375" t="s">
        <v>308</v>
      </c>
      <c r="R53" s="389" t="e">
        <f>'[1]Duel tireur GB joueuse'!L264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joueuse'!L265</f>
        <v>#DIV/0!</v>
      </c>
    </row>
    <row r="55" spans="16:18" x14ac:dyDescent="0.35">
      <c r="P55" s="380"/>
      <c r="Q55" s="375" t="s">
        <v>22</v>
      </c>
      <c r="R55" s="389" t="e">
        <f>'[1]Duel tireur GB joueuse'!L266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joueuse'!L267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B66B7-FE2B-49FB-BB40-8BB076DDA64A}">
  <sheetPr codeName="Feuil3"/>
  <dimension ref="E1:S58"/>
  <sheetViews>
    <sheetView zoomScale="75" workbookViewId="0">
      <selection activeCell="I18" sqref="I18"/>
    </sheetView>
  </sheetViews>
  <sheetFormatPr baseColWidth="10" defaultRowHeight="14.5" x14ac:dyDescent="0.35"/>
  <cols>
    <col min="3" max="3" width="21.6328125" customWidth="1"/>
    <col min="5" max="5" width="10.1796875" customWidth="1"/>
    <col min="6" max="7" width="10.906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1" spans="5:18" ht="15" thickBot="1" x14ac:dyDescent="0.4"/>
    <row r="2" spans="5:18" ht="15" thickBot="1" x14ac:dyDescent="0.4">
      <c r="E2" s="395" t="s">
        <v>33</v>
      </c>
      <c r="F2" s="395" t="s">
        <v>466</v>
      </c>
      <c r="G2" s="351" t="s">
        <v>150</v>
      </c>
      <c r="H2" s="125"/>
      <c r="I2" s="424" t="s">
        <v>475</v>
      </c>
      <c r="J2" s="425"/>
      <c r="K2" s="426"/>
      <c r="L2" s="125"/>
    </row>
    <row r="3" spans="5:18" ht="32.5" customHeight="1" thickBot="1" x14ac:dyDescent="0.4">
      <c r="E3" s="396"/>
      <c r="F3" s="396"/>
      <c r="G3" s="397"/>
      <c r="H3" s="125"/>
      <c r="I3" s="427"/>
      <c r="J3" s="428"/>
      <c r="K3" s="415"/>
      <c r="L3" s="125"/>
      <c r="P3" s="401" t="s">
        <v>457</v>
      </c>
      <c r="Q3" s="401"/>
      <c r="R3" s="372" t="s">
        <v>326</v>
      </c>
    </row>
    <row r="4" spans="5:18" ht="15" thickBot="1" x14ac:dyDescent="0.4">
      <c r="E4" s="125"/>
      <c r="F4" s="125"/>
      <c r="G4" s="125"/>
      <c r="H4" s="125"/>
      <c r="I4" s="125"/>
      <c r="J4" s="125"/>
      <c r="K4" s="125"/>
      <c r="L4" s="125"/>
      <c r="P4" s="402" t="s">
        <v>295</v>
      </c>
      <c r="Q4" s="373" t="s">
        <v>15</v>
      </c>
      <c r="R4" s="374">
        <f>'[1]Duel tireur GB joueuse'!K101</f>
        <v>0</v>
      </c>
    </row>
    <row r="5" spans="5:18" ht="15" thickBot="1" x14ac:dyDescent="0.4">
      <c r="E5" s="395" t="s">
        <v>467</v>
      </c>
      <c r="F5" s="395" t="s">
        <v>468</v>
      </c>
      <c r="G5" s="351" t="s">
        <v>469</v>
      </c>
      <c r="H5" s="125"/>
      <c r="I5" s="416" t="s">
        <v>471</v>
      </c>
      <c r="J5" s="417"/>
      <c r="K5" s="420"/>
      <c r="L5" s="421"/>
      <c r="P5" s="399"/>
      <c r="Q5" s="376" t="s">
        <v>282</v>
      </c>
      <c r="R5" s="374">
        <f>'[1]Duel tireur GB joueuse'!K102</f>
        <v>0</v>
      </c>
    </row>
    <row r="6" spans="5:18" ht="15" thickBot="1" x14ac:dyDescent="0.4">
      <c r="E6" s="429"/>
      <c r="F6" s="429"/>
      <c r="G6" s="430"/>
      <c r="H6" s="125"/>
      <c r="I6" s="418"/>
      <c r="J6" s="419"/>
      <c r="K6" s="422"/>
      <c r="L6" s="423"/>
      <c r="P6" s="399"/>
      <c r="Q6" s="376" t="s">
        <v>297</v>
      </c>
      <c r="R6" s="374">
        <f>'[1]Duel tireur GB joueuse'!K103</f>
        <v>0</v>
      </c>
    </row>
    <row r="7" spans="5:18" ht="15" customHeight="1" thickBot="1" x14ac:dyDescent="0.4">
      <c r="E7" s="412"/>
      <c r="F7" s="412"/>
      <c r="G7" s="414"/>
      <c r="H7" s="125"/>
      <c r="I7" s="416" t="s">
        <v>472</v>
      </c>
      <c r="J7" s="417"/>
      <c r="K7" s="431"/>
      <c r="L7" s="432"/>
      <c r="P7" s="399"/>
      <c r="Q7" s="376" t="s">
        <v>296</v>
      </c>
      <c r="R7" s="374">
        <f>'[1]Duel tireur GB joueuse'!K104</f>
        <v>0</v>
      </c>
    </row>
    <row r="8" spans="5:18" ht="15" thickBot="1" x14ac:dyDescent="0.4">
      <c r="E8" s="395" t="s">
        <v>157</v>
      </c>
      <c r="F8" s="395" t="s">
        <v>470</v>
      </c>
      <c r="G8" s="351" t="s">
        <v>469</v>
      </c>
      <c r="H8" s="125"/>
      <c r="I8" s="418"/>
      <c r="J8" s="419"/>
      <c r="K8" s="433"/>
      <c r="L8" s="434"/>
      <c r="P8" s="399"/>
      <c r="Q8" s="376" t="s">
        <v>298</v>
      </c>
      <c r="R8" s="374">
        <f>'[1]Duel tireur GB joueuse'!K105</f>
        <v>0</v>
      </c>
    </row>
    <row r="9" spans="5:18" x14ac:dyDescent="0.35">
      <c r="E9" s="412"/>
      <c r="F9" s="412"/>
      <c r="G9" s="414"/>
      <c r="H9" s="125"/>
      <c r="I9" s="416" t="s">
        <v>474</v>
      </c>
      <c r="J9" s="417"/>
      <c r="K9" s="420"/>
      <c r="L9" s="421"/>
      <c r="P9" s="399"/>
      <c r="Q9" s="376" t="s">
        <v>283</v>
      </c>
      <c r="R9" s="374">
        <f>'[1]Duel tireur GB joueuse'!K106</f>
        <v>0</v>
      </c>
    </row>
    <row r="10" spans="5:18" ht="15" thickBot="1" x14ac:dyDescent="0.4">
      <c r="E10" s="413"/>
      <c r="F10" s="413"/>
      <c r="G10" s="415"/>
      <c r="H10" s="125"/>
      <c r="I10" s="418"/>
      <c r="J10" s="419"/>
      <c r="K10" s="422"/>
      <c r="L10" s="423"/>
      <c r="P10" s="403"/>
      <c r="Q10" s="377" t="s">
        <v>17</v>
      </c>
      <c r="R10" s="374">
        <f>'[1]Duel tireur GB joueuse'!K107</f>
        <v>0</v>
      </c>
    </row>
    <row r="11" spans="5:18" x14ac:dyDescent="0.35">
      <c r="E11" s="125"/>
      <c r="F11" s="125"/>
      <c r="G11" s="125"/>
      <c r="H11" s="125"/>
      <c r="I11" s="416" t="s">
        <v>473</v>
      </c>
      <c r="J11" s="417"/>
      <c r="K11" s="420"/>
      <c r="L11" s="421"/>
      <c r="P11" s="404" t="s">
        <v>458</v>
      </c>
      <c r="Q11" s="405"/>
      <c r="R11" s="374">
        <f>('[1]Duel tireur GB joueuse'!K108+'[1]Duel tireur GB joueuse'!K111)</f>
        <v>0</v>
      </c>
    </row>
    <row r="12" spans="5:18" ht="14.5" customHeight="1" thickBot="1" x14ac:dyDescent="0.4">
      <c r="E12" s="125"/>
      <c r="F12" s="125"/>
      <c r="G12" s="125"/>
      <c r="H12" s="125"/>
      <c r="I12" s="418"/>
      <c r="J12" s="419"/>
      <c r="K12" s="422"/>
      <c r="L12" s="423"/>
      <c r="P12" s="404" t="s">
        <v>459</v>
      </c>
      <c r="Q12" s="405"/>
      <c r="R12" s="374">
        <f>('[1]Duel tireur GB joueuse'!K109+'[1]Duel tireur GB joueuse'!K112)</f>
        <v>0</v>
      </c>
    </row>
    <row r="13" spans="5:18" x14ac:dyDescent="0.35">
      <c r="P13" s="404" t="s">
        <v>460</v>
      </c>
      <c r="Q13" s="405"/>
      <c r="R13" s="374">
        <f>('[1]Duel tireur GB joueuse'!K110+'[1]Duel tireur GB joueuse'!K113)</f>
        <v>0</v>
      </c>
    </row>
    <row r="14" spans="5:18" x14ac:dyDescent="0.35">
      <c r="P14" s="398" t="s">
        <v>146</v>
      </c>
      <c r="Q14" s="379" t="s">
        <v>307</v>
      </c>
      <c r="R14" s="374">
        <f>'[1]Duel tireur GB joueuse'!K114</f>
        <v>0</v>
      </c>
    </row>
    <row r="15" spans="5:18" x14ac:dyDescent="0.35">
      <c r="P15" s="399"/>
      <c r="Q15" s="376" t="s">
        <v>308</v>
      </c>
      <c r="R15" s="374">
        <f>'[1]Duel tireur GB joueuse'!K115</f>
        <v>0</v>
      </c>
    </row>
    <row r="16" spans="5:18" ht="15" thickBot="1" x14ac:dyDescent="0.4">
      <c r="P16" s="400"/>
      <c r="Q16" s="376" t="s">
        <v>309</v>
      </c>
      <c r="R16" s="374">
        <f>'[1]Duel tireur GB joueuse'!K116</f>
        <v>0</v>
      </c>
    </row>
    <row r="17" spans="16:18" x14ac:dyDescent="0.35">
      <c r="P17" s="380"/>
      <c r="Q17" s="376" t="s">
        <v>22</v>
      </c>
      <c r="R17" s="374">
        <f>'[1]Duel tireur GB joueuse'!K117</f>
        <v>0</v>
      </c>
    </row>
    <row r="18" spans="16:18" ht="15" thickBot="1" x14ac:dyDescent="0.4">
      <c r="P18" s="381"/>
      <c r="Q18" s="382" t="s">
        <v>12</v>
      </c>
      <c r="R18" s="374">
        <f>'[1]Duel tireur GB joueuse'!K118</f>
        <v>0</v>
      </c>
    </row>
    <row r="19" spans="16:18" x14ac:dyDescent="0.35">
      <c r="Q19" s="383" t="s">
        <v>461</v>
      </c>
      <c r="R19" s="384">
        <f>SUM(R4:R18)</f>
        <v>0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 t="e">
        <f>('[1]Duel tireur GB joueuse'!C101+'[1]Duel tireur GB joueuse'!D101+'[1]Duel tireur GB joueuse'!E101)/('[1]Duel tireur GB joueuse'!$C$119+'[1]Duel tireur GB joueuse'!$D$119+'[1]Duel tireur GB joueuse'!$E$119)</f>
        <v>#DIV/0!</v>
      </c>
    </row>
    <row r="24" spans="16:18" x14ac:dyDescent="0.35">
      <c r="P24" s="399"/>
      <c r="Q24" s="376" t="s">
        <v>282</v>
      </c>
      <c r="R24" s="385" t="e">
        <f>('[1]Duel tireur GB joueuse'!C102+'[1]Duel tireur GB joueuse'!D102+'[1]Duel tireur GB joueuse'!E102)/('[1]Duel tireur GB joueuse'!$C$119+'[1]Duel tireur GB joueuse'!$D$119+'[1]Duel tireur GB joueuse'!$E$119)</f>
        <v>#DIV/0!</v>
      </c>
    </row>
    <row r="25" spans="16:18" x14ac:dyDescent="0.35">
      <c r="P25" s="399"/>
      <c r="Q25" s="376" t="s">
        <v>297</v>
      </c>
      <c r="R25" s="385" t="e">
        <f>('[1]Duel tireur GB joueuse'!C103+'[1]Duel tireur GB joueuse'!D103+'[1]Duel tireur GB joueuse'!E103)/('[1]Duel tireur GB joueuse'!$C$119+'[1]Duel tireur GB joueuse'!$D$119+'[1]Duel tireur GB joueuse'!$E$119)</f>
        <v>#DIV/0!</v>
      </c>
    </row>
    <row r="26" spans="16:18" x14ac:dyDescent="0.35">
      <c r="P26" s="399"/>
      <c r="Q26" s="376" t="s">
        <v>296</v>
      </c>
      <c r="R26" s="385" t="e">
        <f>('[1]Duel tireur GB joueuse'!C104+'[1]Duel tireur GB joueuse'!D104+'[1]Duel tireur GB joueuse'!E104)/('[1]Duel tireur GB joueuse'!$C$119+'[1]Duel tireur GB joueuse'!$D$119+'[1]Duel tireur GB joueuse'!$E$119)</f>
        <v>#DIV/0!</v>
      </c>
    </row>
    <row r="27" spans="16:18" x14ac:dyDescent="0.35">
      <c r="P27" s="399"/>
      <c r="Q27" s="376" t="s">
        <v>298</v>
      </c>
      <c r="R27" s="385" t="e">
        <f>('[1]Duel tireur GB joueuse'!C105+'[1]Duel tireur GB joueuse'!D105+'[1]Duel tireur GB joueuse'!E105)/('[1]Duel tireur GB joueuse'!$C$119+'[1]Duel tireur GB joueuse'!$D$119+'[1]Duel tireur GB joueuse'!$E$119)</f>
        <v>#DIV/0!</v>
      </c>
    </row>
    <row r="28" spans="16:18" x14ac:dyDescent="0.35">
      <c r="P28" s="399"/>
      <c r="Q28" s="376" t="s">
        <v>283</v>
      </c>
      <c r="R28" s="385" t="e">
        <f>('[1]Duel tireur GB joueuse'!C106+'[1]Duel tireur GB joueuse'!D106+'[1]Duel tireur GB joueuse'!E106)/('[1]Duel tireur GB joueuse'!$C$119+'[1]Duel tireur GB joueuse'!$D$119+'[1]Duel tireur GB joueuse'!$E$119)</f>
        <v>#DIV/0!</v>
      </c>
    </row>
    <row r="29" spans="16:18" x14ac:dyDescent="0.35">
      <c r="P29" s="403"/>
      <c r="Q29" s="377" t="s">
        <v>17</v>
      </c>
      <c r="R29" s="385" t="e">
        <f>('[1]Duel tireur GB joueuse'!C107+'[1]Duel tireur GB joueuse'!D107+'[1]Duel tireur GB joueuse'!E107)/('[1]Duel tireur GB joueuse'!$C$119+'[1]Duel tireur GB joueuse'!$D$119+'[1]Duel tireur GB joueuse'!$E$119)</f>
        <v>#DIV/0!</v>
      </c>
    </row>
    <row r="30" spans="16:18" x14ac:dyDescent="0.35">
      <c r="P30" s="404" t="s">
        <v>458</v>
      </c>
      <c r="Q30" s="405"/>
      <c r="R30" s="385" t="e">
        <f>('[1]Duel tireur GB joueuse'!C108+'[1]Duel tireur GB joueuse'!D108+'[1]Duel tireur GB joueuse'!E108+'[1]Duel tireur GB joueuse'!C111+'[1]Duel tireur GB joueuse'!D111+'[1]Duel tireur GB joueuse'!E111)/('[1]Duel tireur GB joueuse'!$C$119+'[1]Duel tireur GB joueuse'!$D$119+'[1]Duel tireur GB joueuse'!$E$119)</f>
        <v>#DIV/0!</v>
      </c>
    </row>
    <row r="31" spans="16:18" x14ac:dyDescent="0.35">
      <c r="P31" s="404" t="s">
        <v>459</v>
      </c>
      <c r="Q31" s="405"/>
      <c r="R31" s="385" t="e">
        <f>('[1]Duel tireur GB joueuse'!C109+'[1]Duel tireur GB joueuse'!D109+'[1]Duel tireur GB joueuse'!E109+'[1]Duel tireur GB joueuse'!C112+'[1]Duel tireur GB joueuse'!D112+'[1]Duel tireur GB joueuse'!E112)/('[1]Duel tireur GB joueuse'!$C$119+'[1]Duel tireur GB joueuse'!$D$119+'[1]Duel tireur GB joueuse'!$E$119)</f>
        <v>#DIV/0!</v>
      </c>
    </row>
    <row r="32" spans="16:18" x14ac:dyDescent="0.35">
      <c r="P32" s="404" t="s">
        <v>460</v>
      </c>
      <c r="Q32" s="405"/>
      <c r="R32" s="385" t="e">
        <f>('[1]Duel tireur GB joueuse'!C110+'[1]Duel tireur GB joueuse'!D110+'[1]Duel tireur GB joueuse'!E110+'[1]Duel tireur GB joueuse'!C113+'[1]Duel tireur GB joueuse'!D113+'[1]Duel tireur GB joueuse'!E113)/('[1]Duel tireur GB joueuse'!$C$119+'[1]Duel tireur GB joueuse'!$D$119+'[1]Duel tireur GB joueuse'!$E$119)</f>
        <v>#DIV/0!</v>
      </c>
    </row>
    <row r="33" spans="16:19" x14ac:dyDescent="0.35">
      <c r="P33" s="398" t="s">
        <v>146</v>
      </c>
      <c r="Q33" s="379" t="s">
        <v>307</v>
      </c>
      <c r="R33" s="385" t="e">
        <f>('[1]Duel tireur GB joueuse'!C114+'[1]Duel tireur GB joueuse'!D114+'[1]Duel tireur GB joueuse'!E114)/('[1]Duel tireur GB joueuse'!$C$119+'[1]Duel tireur GB joueuse'!$D$119+'[1]Duel tireur GB joueuse'!$E$119)</f>
        <v>#DIV/0!</v>
      </c>
    </row>
    <row r="34" spans="16:19" x14ac:dyDescent="0.35">
      <c r="P34" s="399"/>
      <c r="Q34" s="376" t="s">
        <v>308</v>
      </c>
      <c r="R34" s="385" t="e">
        <f>('[1]Duel tireur GB joueuse'!C115+'[1]Duel tireur GB joueuse'!D115+'[1]Duel tireur GB joueuse'!E115)/('[1]Duel tireur GB joueuse'!$C$119+'[1]Duel tireur GB joueuse'!$D$119+'[1]Duel tireur GB joueuse'!$E$119)</f>
        <v>#DIV/0!</v>
      </c>
    </row>
    <row r="35" spans="16:19" ht="15" thickBot="1" x14ac:dyDescent="0.4">
      <c r="P35" s="400"/>
      <c r="Q35" s="376" t="s">
        <v>309</v>
      </c>
      <c r="R35" s="385" t="e">
        <f>('[1]Duel tireur GB joueuse'!C116+'[1]Duel tireur GB joueuse'!D116+'[1]Duel tireur GB joueuse'!E116)/('[1]Duel tireur GB joueuse'!$C$119+'[1]Duel tireur GB joueuse'!$D$119+'[1]Duel tireur GB joueuse'!$E$119)</f>
        <v>#DIV/0!</v>
      </c>
    </row>
    <row r="36" spans="16:19" x14ac:dyDescent="0.35">
      <c r="P36" s="380"/>
      <c r="Q36" s="376" t="s">
        <v>22</v>
      </c>
      <c r="R36" s="385" t="e">
        <f>('[1]Duel tireur GB joueuse'!C117+'[1]Duel tireur GB joueuse'!D117+'[1]Duel tireur GB joueuse'!E117)/('[1]Duel tireur GB joueuse'!$C$119+'[1]Duel tireur GB joueuse'!$D$119+'[1]Duel tireur GB joueuse'!$E$119)</f>
        <v>#DIV/0!</v>
      </c>
    </row>
    <row r="37" spans="16:19" ht="15" thickBot="1" x14ac:dyDescent="0.4">
      <c r="P37" s="381"/>
      <c r="Q37" s="382" t="s">
        <v>12</v>
      </c>
      <c r="R37" s="385" t="e">
        <f>('[1]Duel tireur GB joueuse'!C118+'[1]Duel tireur GB joueuse'!D118+'[1]Duel tireur GB joueuse'!E118)/('[1]Duel tireur GB joueuse'!$C$119+'[1]Duel tireur GB joueuse'!$D$119+'[1]Duel tireur GB joueuse'!$E$119)</f>
        <v>#DIV/0!</v>
      </c>
    </row>
    <row r="38" spans="16:19" x14ac:dyDescent="0.35">
      <c r="Q38" s="383" t="s">
        <v>461</v>
      </c>
      <c r="R38" s="386" t="e">
        <f>SUM(R23:R37)</f>
        <v>#DIV/0!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1" t="e">
        <f>('[1]Duel tireur GB joueuse'!C108+'[1]Duel tireur GB joueuse'!C111)/('[1]Duel tireur GB joueuse'!$C$119+'[1]Duel tireur GB joueuse'!$D$119+'[1]Duel tireur GB joueuse'!$E$119)</f>
        <v>#DIV/0!</v>
      </c>
      <c r="S42" s="411" t="s">
        <v>465</v>
      </c>
    </row>
    <row r="43" spans="16:19" ht="15" thickBot="1" x14ac:dyDescent="0.4">
      <c r="P43" s="404" t="s">
        <v>459</v>
      </c>
      <c r="Q43" s="410"/>
      <c r="R43" s="391" t="e">
        <f>('[1]Duel tireur GB joueuse'!C109+'[1]Duel tireur GB joueuse'!C112)/('[1]Duel tireur GB joueuse'!$C$119+'[1]Duel tireur GB joueuse'!$D$119+'[1]Duel tireur GB joueuse'!$E$119)</f>
        <v>#DIV/0!</v>
      </c>
      <c r="S43" s="411"/>
    </row>
    <row r="44" spans="16:19" x14ac:dyDescent="0.35">
      <c r="P44" s="404" t="s">
        <v>460</v>
      </c>
      <c r="Q44" s="410"/>
      <c r="R44" s="391" t="e">
        <f>('[1]Duel tireur GB joueuse'!C110+'[1]Duel tireur GB joueuse'!C113)/('[1]Duel tireur GB joueuse'!$C$119+'[1]Duel tireur GB joueuse'!$D$119+'[1]Duel tireur GB joueuse'!$E$119)</f>
        <v>#DIV/0!</v>
      </c>
      <c r="S44" s="411"/>
    </row>
    <row r="45" spans="16:19" x14ac:dyDescent="0.35">
      <c r="P45" s="398" t="s">
        <v>295</v>
      </c>
      <c r="Q45" s="378" t="s">
        <v>15</v>
      </c>
      <c r="R45" s="388" t="e">
        <f>'[1]Duel tireur GB joueuse'!C101/('[1]Duel tireur GB joueuse'!$C$119+'[1]Duel tireur GB joueuse'!$D$119+'[1]Duel tireur GB joueuse'!$E$119)</f>
        <v>#DIV/0!</v>
      </c>
    </row>
    <row r="46" spans="16:19" x14ac:dyDescent="0.35">
      <c r="P46" s="399"/>
      <c r="Q46" s="375" t="s">
        <v>282</v>
      </c>
      <c r="R46" s="388" t="e">
        <f>'[1]Duel tireur GB joueuse'!C102/('[1]Duel tireur GB joueuse'!$C$119+'[1]Duel tireur GB joueuse'!$D$119+'[1]Duel tireur GB joueuse'!$E$119)</f>
        <v>#DIV/0!</v>
      </c>
    </row>
    <row r="47" spans="16:19" x14ac:dyDescent="0.35">
      <c r="P47" s="399"/>
      <c r="Q47" s="375" t="s">
        <v>297</v>
      </c>
      <c r="R47" s="388" t="e">
        <f>'[1]Duel tireur GB joueuse'!C103/('[1]Duel tireur GB joueuse'!$C$119+'[1]Duel tireur GB joueuse'!$D$119+'[1]Duel tireur GB joueuse'!$E$119)</f>
        <v>#DIV/0!</v>
      </c>
    </row>
    <row r="48" spans="16:19" x14ac:dyDescent="0.35">
      <c r="P48" s="399"/>
      <c r="Q48" s="375" t="s">
        <v>296</v>
      </c>
      <c r="R48" s="388" t="e">
        <f>'[1]Duel tireur GB joueuse'!C104/('[1]Duel tireur GB joueuse'!$C$119+'[1]Duel tireur GB joueuse'!$D$119+'[1]Duel tireur GB joueuse'!$E$119)</f>
        <v>#DIV/0!</v>
      </c>
    </row>
    <row r="49" spans="16:18" x14ac:dyDescent="0.35">
      <c r="P49" s="399"/>
      <c r="Q49" s="375" t="s">
        <v>298</v>
      </c>
      <c r="R49" s="388" t="e">
        <f>'[1]Duel tireur GB joueuse'!C105/('[1]Duel tireur GB joueuse'!$C$119+'[1]Duel tireur GB joueuse'!$D$119+'[1]Duel tireur GB joueuse'!$E$119)</f>
        <v>#DIV/0!</v>
      </c>
    </row>
    <row r="50" spans="16:18" x14ac:dyDescent="0.35">
      <c r="P50" s="399"/>
      <c r="Q50" s="375" t="s">
        <v>283</v>
      </c>
      <c r="R50" s="388" t="e">
        <f>'[1]Duel tireur GB joueuse'!C106/('[1]Duel tireur GB joueuse'!$C$119+'[1]Duel tireur GB joueuse'!$D$119+'[1]Duel tireur GB joueuse'!$E$119)</f>
        <v>#DIV/0!</v>
      </c>
    </row>
    <row r="51" spans="16:18" x14ac:dyDescent="0.35">
      <c r="P51" s="403"/>
      <c r="Q51" s="352" t="s">
        <v>17</v>
      </c>
      <c r="R51" s="388" t="e">
        <f>'[1]Duel tireur GB joueuse'!C107/('[1]Duel tireur GB joueuse'!$C$119+'[1]Duel tireur GB joueuse'!$D$119+'[1]Duel tireur GB joueuse'!$E$119)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joueuse'!C114/('[1]Duel tireur GB joueuse'!$C$119+'[1]Duel tireur GB joueuse'!$D$119+'[1]Duel tireur GB joueuse'!$E$119)</f>
        <v>#DIV/0!</v>
      </c>
    </row>
    <row r="53" spans="16:18" x14ac:dyDescent="0.35">
      <c r="P53" s="399"/>
      <c r="Q53" s="375" t="s">
        <v>308</v>
      </c>
      <c r="R53" s="389" t="e">
        <f>'[1]Duel tireur GB joueuse'!C115/('[1]Duel tireur GB joueuse'!$C$119+'[1]Duel tireur GB joueuse'!$D$119+'[1]Duel tireur GB joueuse'!$E$119)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joueuse'!C116/('[1]Duel tireur GB joueuse'!$C$119+'[1]Duel tireur GB joueuse'!$D$119+'[1]Duel tireur GB joueuse'!$E$119)</f>
        <v>#DIV/0!</v>
      </c>
    </row>
    <row r="55" spans="16:18" x14ac:dyDescent="0.35">
      <c r="P55" s="380"/>
      <c r="Q55" s="375" t="s">
        <v>22</v>
      </c>
      <c r="R55" s="389" t="e">
        <f>'[1]Duel tireur GB joueuse'!C117/('[1]Duel tireur GB joueuse'!$C$119+'[1]Duel tireur GB joueuse'!$D$119+'[1]Duel tireur GB joueuse'!$E$119)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joueuse'!C118/('[1]Duel tireur GB joueuse'!$C$119+'[1]Duel tireur GB joueuse'!$D$119+'[1]Duel tireur GB joueuse'!$E$119)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35">
    <mergeCell ref="I2:K2"/>
    <mergeCell ref="I3:K3"/>
    <mergeCell ref="E6:E7"/>
    <mergeCell ref="F6:F7"/>
    <mergeCell ref="G6:G7"/>
    <mergeCell ref="I5:J6"/>
    <mergeCell ref="I7:J8"/>
    <mergeCell ref="K5:L6"/>
    <mergeCell ref="K7:L8"/>
    <mergeCell ref="E9:E10"/>
    <mergeCell ref="F9:F10"/>
    <mergeCell ref="G9:G10"/>
    <mergeCell ref="P52:P54"/>
    <mergeCell ref="P41:Q41"/>
    <mergeCell ref="P42:Q42"/>
    <mergeCell ref="P14:P16"/>
    <mergeCell ref="I9:J10"/>
    <mergeCell ref="I11:J12"/>
    <mergeCell ref="K9:L10"/>
    <mergeCell ref="K11:L12"/>
    <mergeCell ref="S42:S44"/>
    <mergeCell ref="P43:Q43"/>
    <mergeCell ref="P44:Q44"/>
    <mergeCell ref="P45:P51"/>
    <mergeCell ref="P22:Q22"/>
    <mergeCell ref="P23:P29"/>
    <mergeCell ref="P30:Q30"/>
    <mergeCell ref="P31:Q31"/>
    <mergeCell ref="P32:Q32"/>
    <mergeCell ref="P33:P35"/>
    <mergeCell ref="P3:Q3"/>
    <mergeCell ref="P4:P10"/>
    <mergeCell ref="P11:Q11"/>
    <mergeCell ref="P12:Q12"/>
    <mergeCell ref="P13:Q13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0BA134-1A6C-47AF-AC06-559E185D2676}">
  <sheetPr codeName="Feuil4"/>
  <dimension ref="P3:S58"/>
  <sheetViews>
    <sheetView topLeftCell="A39" workbookViewId="0">
      <selection activeCell="P1" sqref="P1:S1048576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joueuse'!K76</f>
        <v>0</v>
      </c>
    </row>
    <row r="5" spans="16:18" x14ac:dyDescent="0.35">
      <c r="P5" s="399"/>
      <c r="Q5" s="376" t="s">
        <v>282</v>
      </c>
      <c r="R5" s="374">
        <f>'[1]Duel tireur GB joueuse'!K77</f>
        <v>0</v>
      </c>
    </row>
    <row r="6" spans="16:18" x14ac:dyDescent="0.35">
      <c r="P6" s="399"/>
      <c r="Q6" s="376" t="s">
        <v>297</v>
      </c>
      <c r="R6" s="374">
        <f>'[1]Duel tireur GB joueuse'!K78</f>
        <v>0</v>
      </c>
    </row>
    <row r="7" spans="16:18" x14ac:dyDescent="0.35">
      <c r="P7" s="399"/>
      <c r="Q7" s="376" t="s">
        <v>296</v>
      </c>
      <c r="R7" s="374">
        <f>'[1]Duel tireur GB joueuse'!K79</f>
        <v>0</v>
      </c>
    </row>
    <row r="8" spans="16:18" x14ac:dyDescent="0.35">
      <c r="P8" s="399"/>
      <c r="Q8" s="376" t="s">
        <v>298</v>
      </c>
      <c r="R8" s="374">
        <f>'[1]Duel tireur GB joueuse'!K80</f>
        <v>0</v>
      </c>
    </row>
    <row r="9" spans="16:18" x14ac:dyDescent="0.35">
      <c r="P9" s="399"/>
      <c r="Q9" s="376" t="s">
        <v>283</v>
      </c>
      <c r="R9" s="374">
        <f>'[1]Duel tireur GB joueuse'!K81</f>
        <v>0</v>
      </c>
    </row>
    <row r="10" spans="16:18" x14ac:dyDescent="0.35">
      <c r="P10" s="403"/>
      <c r="Q10" s="377" t="s">
        <v>17</v>
      </c>
      <c r="R10" s="374">
        <f>'[1]Duel tireur GB joueuse'!K82</f>
        <v>4</v>
      </c>
    </row>
    <row r="11" spans="16:18" x14ac:dyDescent="0.35">
      <c r="P11" s="404" t="s">
        <v>458</v>
      </c>
      <c r="Q11" s="405"/>
      <c r="R11" s="374">
        <f>('[1]Duel tireur GB joueuse'!K83+'[1]Duel tireur GB joueuse'!K86)</f>
        <v>0</v>
      </c>
    </row>
    <row r="12" spans="16:18" x14ac:dyDescent="0.35">
      <c r="P12" s="404" t="s">
        <v>459</v>
      </c>
      <c r="Q12" s="405"/>
      <c r="R12" s="374">
        <f>('[1]Duel tireur GB joueuse'!K84+'[1]Duel tireur GB joueuse'!K87)</f>
        <v>0</v>
      </c>
    </row>
    <row r="13" spans="16:18" x14ac:dyDescent="0.35">
      <c r="P13" s="404" t="s">
        <v>460</v>
      </c>
      <c r="Q13" s="405"/>
      <c r="R13" s="374">
        <f>('[1]Duel tireur GB joueuse'!K85+'[1]Duel tireur GB joueuse'!K88)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joueuse'!K89</f>
        <v>0</v>
      </c>
    </row>
    <row r="15" spans="16:18" x14ac:dyDescent="0.35">
      <c r="P15" s="399"/>
      <c r="Q15" s="376" t="s">
        <v>308</v>
      </c>
      <c r="R15" s="374">
        <f>'[1]Duel tireur GB joueuse'!K90</f>
        <v>0</v>
      </c>
    </row>
    <row r="16" spans="16:18" ht="15" thickBot="1" x14ac:dyDescent="0.4">
      <c r="P16" s="400"/>
      <c r="Q16" s="376" t="s">
        <v>309</v>
      </c>
      <c r="R16" s="374">
        <f>'[1]Duel tireur GB joueuse'!K91</f>
        <v>0</v>
      </c>
    </row>
    <row r="17" spans="16:18" x14ac:dyDescent="0.35">
      <c r="P17" s="380"/>
      <c r="Q17" s="376" t="s">
        <v>22</v>
      </c>
      <c r="R17" s="374">
        <f>'[1]Duel tireur GB joueuse'!K92</f>
        <v>0</v>
      </c>
    </row>
    <row r="18" spans="16:18" ht="15" thickBot="1" x14ac:dyDescent="0.4">
      <c r="P18" s="381"/>
      <c r="Q18" s="382" t="s">
        <v>12</v>
      </c>
      <c r="R18" s="374">
        <f>'[1]Duel tireur GB joueuse'!K93</f>
        <v>1</v>
      </c>
    </row>
    <row r="19" spans="16:18" x14ac:dyDescent="0.35">
      <c r="Q19" s="383" t="s">
        <v>461</v>
      </c>
      <c r="R19" s="384">
        <f>SUM(R4:R18)</f>
        <v>5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joueuse'!K76/'[1]Duel tireur GB joueuse'!$K$94</f>
        <v>0</v>
      </c>
    </row>
    <row r="24" spans="16:18" x14ac:dyDescent="0.35">
      <c r="P24" s="399"/>
      <c r="Q24" s="376" t="s">
        <v>282</v>
      </c>
      <c r="R24" s="385">
        <f>'[1]Duel tireur GB joueuse'!K77/'[1]Duel tireur GB joueuse'!$K$94</f>
        <v>0</v>
      </c>
    </row>
    <row r="25" spans="16:18" x14ac:dyDescent="0.35">
      <c r="P25" s="399"/>
      <c r="Q25" s="376" t="s">
        <v>297</v>
      </c>
      <c r="R25" s="385">
        <f>'[1]Duel tireur GB joueuse'!K78/'[1]Duel tireur GB joueuse'!$K$94</f>
        <v>0</v>
      </c>
    </row>
    <row r="26" spans="16:18" x14ac:dyDescent="0.35">
      <c r="P26" s="399"/>
      <c r="Q26" s="376" t="s">
        <v>296</v>
      </c>
      <c r="R26" s="385">
        <f>'[1]Duel tireur GB joueuse'!K79/'[1]Duel tireur GB joueuse'!$K$94</f>
        <v>0</v>
      </c>
    </row>
    <row r="27" spans="16:18" x14ac:dyDescent="0.35">
      <c r="P27" s="399"/>
      <c r="Q27" s="376" t="s">
        <v>298</v>
      </c>
      <c r="R27" s="385">
        <f>'[1]Duel tireur GB joueuse'!K80/'[1]Duel tireur GB joueuse'!$K$94</f>
        <v>0</v>
      </c>
    </row>
    <row r="28" spans="16:18" x14ac:dyDescent="0.35">
      <c r="P28" s="399"/>
      <c r="Q28" s="376" t="s">
        <v>283</v>
      </c>
      <c r="R28" s="385">
        <f>'[1]Duel tireur GB joueuse'!K81/'[1]Duel tireur GB joueuse'!$K$94</f>
        <v>0</v>
      </c>
    </row>
    <row r="29" spans="16:18" x14ac:dyDescent="0.35">
      <c r="P29" s="403"/>
      <c r="Q29" s="377" t="s">
        <v>17</v>
      </c>
      <c r="R29" s="385">
        <f>'[1]Duel tireur GB joueuse'!K82/'[1]Duel tireur GB joueuse'!$K$94</f>
        <v>0.8</v>
      </c>
    </row>
    <row r="30" spans="16:18" x14ac:dyDescent="0.35">
      <c r="P30" s="404" t="s">
        <v>458</v>
      </c>
      <c r="Q30" s="405"/>
      <c r="R30" s="385">
        <f>('[1]Duel tireur GB joueuse'!K83+'[1]Duel tireur GB joueuse'!K86)/'[1]Duel tireur GB joueuse'!$K$94</f>
        <v>0</v>
      </c>
    </row>
    <row r="31" spans="16:18" x14ac:dyDescent="0.35">
      <c r="P31" s="404" t="s">
        <v>459</v>
      </c>
      <c r="Q31" s="405"/>
      <c r="R31" s="385">
        <f>('[1]Duel tireur GB joueuse'!K84+'[1]Duel tireur GB joueuse'!K87)/'[1]Duel tireur GB joueuse'!$K$94</f>
        <v>0</v>
      </c>
    </row>
    <row r="32" spans="16:18" x14ac:dyDescent="0.35">
      <c r="P32" s="404" t="s">
        <v>460</v>
      </c>
      <c r="Q32" s="405"/>
      <c r="R32" s="385">
        <f>('[1]Duel tireur GB joueuse'!K85+'[1]Duel tireur GB joueuse'!K88)/'[1]Duel tireur GB joueuse'!$K$94</f>
        <v>0</v>
      </c>
    </row>
    <row r="33" spans="16:19" x14ac:dyDescent="0.35">
      <c r="P33" s="398" t="s">
        <v>146</v>
      </c>
      <c r="Q33" s="379" t="s">
        <v>307</v>
      </c>
      <c r="R33" s="385">
        <f>('[1]Duel tireur GB joueuse'!K89/'[1]Duel tireur GB joueuse'!$K$94)</f>
        <v>0</v>
      </c>
    </row>
    <row r="34" spans="16:19" x14ac:dyDescent="0.35">
      <c r="P34" s="399"/>
      <c r="Q34" s="376" t="s">
        <v>308</v>
      </c>
      <c r="R34" s="385">
        <f>('[1]Duel tireur GB joueuse'!K90/'[1]Duel tireur GB joueuse'!$K$94)</f>
        <v>0</v>
      </c>
    </row>
    <row r="35" spans="16:19" ht="15" thickBot="1" x14ac:dyDescent="0.4">
      <c r="P35" s="400"/>
      <c r="Q35" s="376" t="s">
        <v>309</v>
      </c>
      <c r="R35" s="385">
        <f>('[1]Duel tireur GB joueuse'!K91/'[1]Duel tireur GB joueuse'!$K$94)</f>
        <v>0</v>
      </c>
    </row>
    <row r="36" spans="16:19" x14ac:dyDescent="0.35">
      <c r="P36" s="380"/>
      <c r="Q36" s="376" t="s">
        <v>22</v>
      </c>
      <c r="R36" s="385">
        <f>('[1]Duel tireur GB joueuse'!K92/'[1]Duel tireur GB joueuse'!$K$94)</f>
        <v>0</v>
      </c>
    </row>
    <row r="37" spans="16:19" ht="15" thickBot="1" x14ac:dyDescent="0.4">
      <c r="P37" s="381"/>
      <c r="Q37" s="382" t="s">
        <v>12</v>
      </c>
      <c r="R37" s="385">
        <f>('[1]Duel tireur GB joueuse'!K93/'[1]Duel tireur GB joueuse'!$K$94)</f>
        <v>0.2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 t="s">
        <v>150</v>
      </c>
    </row>
    <row r="42" spans="16:19" x14ac:dyDescent="0.35">
      <c r="P42" s="407" t="s">
        <v>458</v>
      </c>
      <c r="Q42" s="408"/>
      <c r="R42" s="391" t="e">
        <f>('[1]Duel tireur GB joueuse'!L83+'[1]Duel tireur GB joueuse'!L86)/2</f>
        <v>#DIV/0!</v>
      </c>
      <c r="S42" s="411" t="s">
        <v>465</v>
      </c>
    </row>
    <row r="43" spans="16:19" x14ac:dyDescent="0.35">
      <c r="P43" s="404" t="s">
        <v>459</v>
      </c>
      <c r="Q43" s="410"/>
      <c r="R43" s="392" t="e">
        <f>('[1]Duel tireur GB joueuse'!L84+'[1]Duel tireur GB joueuse'!L87)/2</f>
        <v>#DIV/0!</v>
      </c>
      <c r="S43" s="411"/>
    </row>
    <row r="44" spans="16:19" x14ac:dyDescent="0.35">
      <c r="P44" s="404" t="s">
        <v>460</v>
      </c>
      <c r="Q44" s="410"/>
      <c r="R44" s="392" t="e">
        <f>('[1]Duel tireur GB joueuse'!L85+'[1]Duel tireur GB joueuse'!L88)/2</f>
        <v>#DIV/0!</v>
      </c>
      <c r="S44" s="411"/>
    </row>
    <row r="45" spans="16:19" x14ac:dyDescent="0.35">
      <c r="P45" s="398" t="s">
        <v>295</v>
      </c>
      <c r="Q45" s="378" t="s">
        <v>15</v>
      </c>
      <c r="R45" s="388" t="e">
        <f>'[1]Duel tireur GB joueuse'!L76</f>
        <v>#DIV/0!</v>
      </c>
    </row>
    <row r="46" spans="16:19" x14ac:dyDescent="0.35">
      <c r="P46" s="399"/>
      <c r="Q46" s="375" t="s">
        <v>282</v>
      </c>
      <c r="R46" s="388" t="e">
        <f>'[1]Duel tireur GB joueuse'!L77</f>
        <v>#DIV/0!</v>
      </c>
    </row>
    <row r="47" spans="16:19" x14ac:dyDescent="0.35">
      <c r="P47" s="399"/>
      <c r="Q47" s="375" t="s">
        <v>297</v>
      </c>
      <c r="R47" s="388" t="e">
        <f>'[1]Duel tireur GB joueuse'!L78</f>
        <v>#DIV/0!</v>
      </c>
    </row>
    <row r="48" spans="16:19" x14ac:dyDescent="0.35">
      <c r="P48" s="399"/>
      <c r="Q48" s="375" t="s">
        <v>296</v>
      </c>
      <c r="R48" s="388" t="e">
        <f>'[1]Duel tireur GB joueuse'!L79</f>
        <v>#DIV/0!</v>
      </c>
    </row>
    <row r="49" spans="16:18" x14ac:dyDescent="0.35">
      <c r="P49" s="399"/>
      <c r="Q49" s="375" t="s">
        <v>298</v>
      </c>
      <c r="R49" s="388" t="e">
        <f>'[1]Duel tireur GB joueuse'!L80</f>
        <v>#DIV/0!</v>
      </c>
    </row>
    <row r="50" spans="16:18" x14ac:dyDescent="0.35">
      <c r="P50" s="399"/>
      <c r="Q50" s="375" t="s">
        <v>283</v>
      </c>
      <c r="R50" s="388" t="e">
        <f>'[1]Duel tireur GB joueuse'!L81</f>
        <v>#DIV/0!</v>
      </c>
    </row>
    <row r="51" spans="16:18" x14ac:dyDescent="0.35">
      <c r="P51" s="403"/>
      <c r="Q51" s="352" t="s">
        <v>17</v>
      </c>
      <c r="R51" s="388">
        <f>'[1]Duel tireur GB joueuse'!L82</f>
        <v>0.75</v>
      </c>
    </row>
    <row r="52" spans="16:18" x14ac:dyDescent="0.35">
      <c r="P52" s="398" t="s">
        <v>146</v>
      </c>
      <c r="Q52" s="378" t="s">
        <v>307</v>
      </c>
      <c r="R52" s="389" t="e">
        <f>'[1]Duel tireur GB joueuse'!L89</f>
        <v>#DIV/0!</v>
      </c>
    </row>
    <row r="53" spans="16:18" x14ac:dyDescent="0.35">
      <c r="P53" s="399"/>
      <c r="Q53" s="375" t="s">
        <v>308</v>
      </c>
      <c r="R53" s="389" t="e">
        <f>'[1]Duel tireur GB joueuse'!L90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joueuse'!L91</f>
        <v>#DIV/0!</v>
      </c>
    </row>
    <row r="55" spans="16:18" x14ac:dyDescent="0.35">
      <c r="P55" s="380"/>
      <c r="Q55" s="375" t="s">
        <v>22</v>
      </c>
      <c r="R55" s="389" t="e">
        <f>'[1]Duel tireur GB joueuse'!L92</f>
        <v>#DIV/0!</v>
      </c>
    </row>
    <row r="56" spans="16:18" ht="15" thickBot="1" x14ac:dyDescent="0.4">
      <c r="P56" s="381"/>
      <c r="Q56" s="143" t="s">
        <v>12</v>
      </c>
      <c r="R56" s="393">
        <f>'[1]Duel tireur GB joueuse'!L93</f>
        <v>0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0AAA6-726C-43F7-9297-375386E4F33E}">
  <sheetPr codeName="Feuil5"/>
  <dimension ref="P3:S58"/>
  <sheetViews>
    <sheetView topLeftCell="B41" workbookViewId="0">
      <selection activeCell="P1" sqref="P1:S1048576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'[1]Analyse GB'!O30</f>
        <v>2</v>
      </c>
    </row>
    <row r="5" spans="16:18" x14ac:dyDescent="0.35">
      <c r="P5" s="399"/>
      <c r="Q5" s="376" t="s">
        <v>282</v>
      </c>
      <c r="R5" s="374">
        <f>'[1]Analyse GB'!O31</f>
        <v>1</v>
      </c>
    </row>
    <row r="6" spans="16:18" x14ac:dyDescent="0.35">
      <c r="P6" s="399"/>
      <c r="Q6" s="376" t="s">
        <v>297</v>
      </c>
      <c r="R6" s="374">
        <f>'[1]Analyse GB'!O32</f>
        <v>1</v>
      </c>
    </row>
    <row r="7" spans="16:18" x14ac:dyDescent="0.35">
      <c r="P7" s="399"/>
      <c r="Q7" s="376" t="s">
        <v>296</v>
      </c>
      <c r="R7" s="374">
        <f>'[1]Analyse GB'!O33</f>
        <v>3</v>
      </c>
    </row>
    <row r="8" spans="16:18" x14ac:dyDescent="0.35">
      <c r="P8" s="399"/>
      <c r="Q8" s="376" t="s">
        <v>298</v>
      </c>
      <c r="R8" s="374">
        <f>'[1]Analyse GB'!O34</f>
        <v>0</v>
      </c>
    </row>
    <row r="9" spans="16:18" x14ac:dyDescent="0.35">
      <c r="P9" s="399"/>
      <c r="Q9" s="376" t="s">
        <v>283</v>
      </c>
      <c r="R9" s="374">
        <f>'[1]Analyse GB'!O35</f>
        <v>1</v>
      </c>
    </row>
    <row r="10" spans="16:18" x14ac:dyDescent="0.35">
      <c r="P10" s="403"/>
      <c r="Q10" s="377" t="s">
        <v>17</v>
      </c>
      <c r="R10" s="374">
        <f>'[1]Analyse GB'!O36</f>
        <v>1</v>
      </c>
    </row>
    <row r="11" spans="16:18" x14ac:dyDescent="0.35">
      <c r="P11" s="404" t="s">
        <v>458</v>
      </c>
      <c r="Q11" s="405"/>
      <c r="R11" s="374">
        <f>('[1]Analyse GB'!O37+'[1]Analyse GB'!O40)</f>
        <v>3</v>
      </c>
    </row>
    <row r="12" spans="16:18" x14ac:dyDescent="0.35">
      <c r="P12" s="404" t="s">
        <v>459</v>
      </c>
      <c r="Q12" s="405"/>
      <c r="R12" s="374">
        <f>('[1]Analyse GB'!O38+'[1]Analyse GB'!O41)</f>
        <v>1</v>
      </c>
    </row>
    <row r="13" spans="16:18" x14ac:dyDescent="0.35">
      <c r="P13" s="404" t="s">
        <v>460</v>
      </c>
      <c r="Q13" s="405"/>
      <c r="R13" s="374">
        <f>('[1]Analyse GB'!O39+'[1]Analyse GB'!O42)</f>
        <v>3</v>
      </c>
    </row>
    <row r="14" spans="16:18" x14ac:dyDescent="0.35">
      <c r="P14" s="398" t="s">
        <v>146</v>
      </c>
      <c r="Q14" s="379" t="s">
        <v>307</v>
      </c>
      <c r="R14" s="374">
        <f>'[1]Analyse GB'!O43</f>
        <v>0</v>
      </c>
    </row>
    <row r="15" spans="16:18" x14ac:dyDescent="0.35">
      <c r="P15" s="399"/>
      <c r="Q15" s="376" t="s">
        <v>308</v>
      </c>
      <c r="R15" s="374">
        <f>'[1]Analyse GB'!O44</f>
        <v>7</v>
      </c>
    </row>
    <row r="16" spans="16:18" ht="15" thickBot="1" x14ac:dyDescent="0.4">
      <c r="P16" s="400"/>
      <c r="Q16" s="376" t="s">
        <v>309</v>
      </c>
      <c r="R16" s="374">
        <f>'[1]Analyse GB'!O45</f>
        <v>2</v>
      </c>
    </row>
    <row r="17" spans="16:18" x14ac:dyDescent="0.35">
      <c r="P17" s="380"/>
      <c r="Q17" s="376" t="s">
        <v>22</v>
      </c>
      <c r="R17" s="374">
        <f>'[1]Analyse GB'!O46</f>
        <v>0</v>
      </c>
    </row>
    <row r="18" spans="16:18" ht="15" thickBot="1" x14ac:dyDescent="0.4">
      <c r="P18" s="381"/>
      <c r="Q18" s="382" t="s">
        <v>12</v>
      </c>
      <c r="R18" s="374">
        <f>'[1]Analyse GB'!O47</f>
        <v>2</v>
      </c>
    </row>
    <row r="19" spans="16:18" x14ac:dyDescent="0.35">
      <c r="Q19" s="383" t="s">
        <v>461</v>
      </c>
      <c r="R19" s="384">
        <f>SUM(R4:R18)</f>
        <v>27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'[1]Analyse GB'!O30/'[1]Analyse GB'!$O$48</f>
        <v>7.407407407407407E-2</v>
      </c>
    </row>
    <row r="24" spans="16:18" x14ac:dyDescent="0.35">
      <c r="P24" s="399"/>
      <c r="Q24" s="376" t="s">
        <v>282</v>
      </c>
      <c r="R24" s="385">
        <f>'[1]Analyse GB'!O31/'[1]Analyse GB'!$O$48</f>
        <v>3.7037037037037035E-2</v>
      </c>
    </row>
    <row r="25" spans="16:18" x14ac:dyDescent="0.35">
      <c r="P25" s="399"/>
      <c r="Q25" s="376" t="s">
        <v>297</v>
      </c>
      <c r="R25" s="385">
        <f>'[1]Analyse GB'!O32/'[1]Analyse GB'!$O$48</f>
        <v>3.7037037037037035E-2</v>
      </c>
    </row>
    <row r="26" spans="16:18" x14ac:dyDescent="0.35">
      <c r="P26" s="399"/>
      <c r="Q26" s="376" t="s">
        <v>296</v>
      </c>
      <c r="R26" s="385">
        <f>'[1]Analyse GB'!O33/'[1]Analyse GB'!$O$48</f>
        <v>0.1111111111111111</v>
      </c>
    </row>
    <row r="27" spans="16:18" x14ac:dyDescent="0.35">
      <c r="P27" s="399"/>
      <c r="Q27" s="376" t="s">
        <v>298</v>
      </c>
      <c r="R27" s="385">
        <f>'[1]Analyse GB'!O34/'[1]Analyse GB'!$O$48</f>
        <v>0</v>
      </c>
    </row>
    <row r="28" spans="16:18" x14ac:dyDescent="0.35">
      <c r="P28" s="399"/>
      <c r="Q28" s="376" t="s">
        <v>283</v>
      </c>
      <c r="R28" s="385">
        <f>'[1]Analyse GB'!O35/'[1]Analyse GB'!$O$48</f>
        <v>3.7037037037037035E-2</v>
      </c>
    </row>
    <row r="29" spans="16:18" x14ac:dyDescent="0.35">
      <c r="P29" s="403"/>
      <c r="Q29" s="377" t="s">
        <v>17</v>
      </c>
      <c r="R29" s="385">
        <f>'[1]Analyse GB'!O36/'[1]Analyse GB'!$O$48</f>
        <v>3.7037037037037035E-2</v>
      </c>
    </row>
    <row r="30" spans="16:18" x14ac:dyDescent="0.35">
      <c r="P30" s="404" t="s">
        <v>458</v>
      </c>
      <c r="Q30" s="405"/>
      <c r="R30" s="385">
        <f>('[1]Analyse GB'!O37+'[1]Analyse GB'!O40)/'[1]Analyse GB'!$O$48</f>
        <v>0.1111111111111111</v>
      </c>
    </row>
    <row r="31" spans="16:18" x14ac:dyDescent="0.35">
      <c r="P31" s="404" t="s">
        <v>459</v>
      </c>
      <c r="Q31" s="405"/>
      <c r="R31" s="385">
        <f>('[1]Analyse GB'!O38+'[1]Analyse GB'!O41)/'[1]Analyse GB'!$O$48</f>
        <v>3.7037037037037035E-2</v>
      </c>
    </row>
    <row r="32" spans="16:18" x14ac:dyDescent="0.35">
      <c r="P32" s="404" t="s">
        <v>460</v>
      </c>
      <c r="Q32" s="405"/>
      <c r="R32" s="385">
        <f>('[1]Analyse GB'!O39+'[1]Analyse GB'!O42)/'[1]Analyse GB'!$O$48</f>
        <v>0.1111111111111111</v>
      </c>
    </row>
    <row r="33" spans="16:19" x14ac:dyDescent="0.35">
      <c r="P33" s="398" t="s">
        <v>146</v>
      </c>
      <c r="Q33" s="379" t="s">
        <v>307</v>
      </c>
      <c r="R33" s="385">
        <f>'[1]Analyse GB'!O43/'[1]Analyse GB'!$O$48</f>
        <v>0</v>
      </c>
    </row>
    <row r="34" spans="16:19" x14ac:dyDescent="0.35">
      <c r="P34" s="399"/>
      <c r="Q34" s="376" t="s">
        <v>308</v>
      </c>
      <c r="R34" s="385">
        <f>'[1]Analyse GB'!O44/'[1]Analyse GB'!$O$48</f>
        <v>0.25925925925925924</v>
      </c>
    </row>
    <row r="35" spans="16:19" ht="15" thickBot="1" x14ac:dyDescent="0.4">
      <c r="P35" s="400"/>
      <c r="Q35" s="376" t="s">
        <v>309</v>
      </c>
      <c r="R35" s="385">
        <f>'[1]Analyse GB'!O45/'[1]Analyse GB'!$O$48</f>
        <v>7.407407407407407E-2</v>
      </c>
    </row>
    <row r="36" spans="16:19" x14ac:dyDescent="0.35">
      <c r="P36" s="380"/>
      <c r="Q36" s="376" t="s">
        <v>22</v>
      </c>
      <c r="R36" s="385">
        <f>'[1]Analyse GB'!O46/'[1]Analyse GB'!$O$48</f>
        <v>0</v>
      </c>
    </row>
    <row r="37" spans="16:19" ht="15" thickBot="1" x14ac:dyDescent="0.4">
      <c r="P37" s="381"/>
      <c r="Q37" s="382" t="s">
        <v>12</v>
      </c>
      <c r="R37" s="385">
        <f>'[1]Analyse GB'!O47/'[1]Analyse GB'!$O$48</f>
        <v>7.407407407407407E-2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 t="s">
        <v>150</v>
      </c>
    </row>
    <row r="42" spans="16:19" ht="15" thickBot="1" x14ac:dyDescent="0.4">
      <c r="P42" s="407" t="s">
        <v>458</v>
      </c>
      <c r="Q42" s="408"/>
      <c r="R42" s="387">
        <f>('[1]Analyse GB'!P37+'[1]Analyse GB'!P40)/2</f>
        <v>0.25</v>
      </c>
      <c r="S42" s="411" t="s">
        <v>465</v>
      </c>
    </row>
    <row r="43" spans="16:19" ht="15" thickBot="1" x14ac:dyDescent="0.4">
      <c r="P43" s="404" t="s">
        <v>459</v>
      </c>
      <c r="Q43" s="410"/>
      <c r="R43" s="387" t="e">
        <f>('[1]Analyse GB'!P38+'[1]Analyse GB'!P41)/2</f>
        <v>#DIV/0!</v>
      </c>
      <c r="S43" s="411"/>
    </row>
    <row r="44" spans="16:19" x14ac:dyDescent="0.35">
      <c r="P44" s="404" t="s">
        <v>460</v>
      </c>
      <c r="Q44" s="410"/>
      <c r="R44" s="387">
        <f>('[1]Analyse GB'!P39+'[1]Analyse GB'!P42)/2</f>
        <v>0</v>
      </c>
      <c r="S44" s="411"/>
    </row>
    <row r="45" spans="16:19" x14ac:dyDescent="0.35">
      <c r="P45" s="398" t="s">
        <v>295</v>
      </c>
      <c r="Q45" s="378" t="s">
        <v>15</v>
      </c>
      <c r="R45" s="388">
        <f>'[1]Analyse GB'!P30</f>
        <v>0.5</v>
      </c>
    </row>
    <row r="46" spans="16:19" x14ac:dyDescent="0.35">
      <c r="P46" s="399"/>
      <c r="Q46" s="375" t="s">
        <v>282</v>
      </c>
      <c r="R46" s="388">
        <f>'[1]Analyse GB'!P31</f>
        <v>1</v>
      </c>
    </row>
    <row r="47" spans="16:19" x14ac:dyDescent="0.35">
      <c r="P47" s="399"/>
      <c r="Q47" s="375" t="s">
        <v>297</v>
      </c>
      <c r="R47" s="388">
        <f>'[1]Analyse GB'!P32</f>
        <v>1</v>
      </c>
    </row>
    <row r="48" spans="16:19" x14ac:dyDescent="0.35">
      <c r="P48" s="399"/>
      <c r="Q48" s="375" t="s">
        <v>296</v>
      </c>
      <c r="R48" s="388">
        <f>'[1]Analyse GB'!P33</f>
        <v>1</v>
      </c>
    </row>
    <row r="49" spans="16:18" x14ac:dyDescent="0.35">
      <c r="P49" s="399"/>
      <c r="Q49" s="375" t="s">
        <v>298</v>
      </c>
      <c r="R49" s="388" t="e">
        <f>'[1]Analyse GB'!P34</f>
        <v>#DIV/0!</v>
      </c>
    </row>
    <row r="50" spans="16:18" x14ac:dyDescent="0.35">
      <c r="P50" s="399"/>
      <c r="Q50" s="375" t="s">
        <v>283</v>
      </c>
      <c r="R50" s="388">
        <f>'[1]Analyse GB'!P35</f>
        <v>1</v>
      </c>
    </row>
    <row r="51" spans="16:18" x14ac:dyDescent="0.35">
      <c r="P51" s="403"/>
      <c r="Q51" s="352" t="s">
        <v>17</v>
      </c>
      <c r="R51" s="388">
        <f>'[1]Analyse GB'!P36</f>
        <v>1</v>
      </c>
    </row>
    <row r="52" spans="16:18" x14ac:dyDescent="0.35">
      <c r="P52" s="398" t="s">
        <v>146</v>
      </c>
      <c r="Q52" s="378" t="s">
        <v>307</v>
      </c>
      <c r="R52" s="389" t="e">
        <f>'[1]Analyse GB'!P43</f>
        <v>#DIV/0!</v>
      </c>
    </row>
    <row r="53" spans="16:18" x14ac:dyDescent="0.35">
      <c r="P53" s="399"/>
      <c r="Q53" s="375" t="s">
        <v>308</v>
      </c>
      <c r="R53" s="389">
        <f>'[1]Analyse GB'!P44</f>
        <v>0.2857142857142857</v>
      </c>
    </row>
    <row r="54" spans="16:18" ht="15" thickBot="1" x14ac:dyDescent="0.4">
      <c r="P54" s="400"/>
      <c r="Q54" s="375" t="s">
        <v>309</v>
      </c>
      <c r="R54" s="389">
        <f>'[1]Analyse GB'!P45</f>
        <v>0.5</v>
      </c>
    </row>
    <row r="55" spans="16:18" x14ac:dyDescent="0.35">
      <c r="P55" s="380"/>
      <c r="Q55" s="375" t="s">
        <v>22</v>
      </c>
      <c r="R55" s="389" t="e">
        <f>'[1]Analyse GB'!P46</f>
        <v>#DIV/0!</v>
      </c>
    </row>
    <row r="56" spans="16:18" ht="15" thickBot="1" x14ac:dyDescent="0.4">
      <c r="P56" s="381"/>
      <c r="Q56" s="143" t="s">
        <v>12</v>
      </c>
      <c r="R56" s="389">
        <f>'[1]Analyse GB'!P47</f>
        <v>0.5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S42:S44"/>
    <mergeCell ref="P43:Q43"/>
    <mergeCell ref="P44:Q44"/>
    <mergeCell ref="P45:P51"/>
    <mergeCell ref="P22:Q22"/>
    <mergeCell ref="P23:P29"/>
    <mergeCell ref="P30:Q30"/>
    <mergeCell ref="P31:Q31"/>
    <mergeCell ref="P32:Q32"/>
    <mergeCell ref="P33:P35"/>
    <mergeCell ref="P52:P54"/>
    <mergeCell ref="P3:Q3"/>
    <mergeCell ref="P4:P10"/>
    <mergeCell ref="P11:Q11"/>
    <mergeCell ref="P12:Q12"/>
    <mergeCell ref="P13:Q13"/>
    <mergeCell ref="P14:P16"/>
    <mergeCell ref="P41:Q41"/>
    <mergeCell ref="P42:Q42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9EF65-0148-40F3-89FD-C7BBC0884E6F}">
  <sheetPr codeName="Feuil6"/>
  <dimension ref="P3:S58"/>
  <sheetViews>
    <sheetView topLeftCell="A20" zoomScale="81" workbookViewId="0">
      <selection activeCell="N23" sqref="N23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'[1]Analyse GB'!O4</f>
        <v>2</v>
      </c>
    </row>
    <row r="5" spans="16:18" x14ac:dyDescent="0.35">
      <c r="P5" s="399"/>
      <c r="Q5" s="376" t="s">
        <v>282</v>
      </c>
      <c r="R5" s="374">
        <f>'[1]Analyse GB'!O5</f>
        <v>0</v>
      </c>
    </row>
    <row r="6" spans="16:18" x14ac:dyDescent="0.35">
      <c r="P6" s="399"/>
      <c r="Q6" s="376" t="s">
        <v>297</v>
      </c>
      <c r="R6" s="374">
        <f>'[1]Analyse GB'!O6</f>
        <v>0</v>
      </c>
    </row>
    <row r="7" spans="16:18" x14ac:dyDescent="0.35">
      <c r="P7" s="399"/>
      <c r="Q7" s="376" t="s">
        <v>296</v>
      </c>
      <c r="R7" s="374">
        <f>'[1]Analyse GB'!O7</f>
        <v>2</v>
      </c>
    </row>
    <row r="8" spans="16:18" x14ac:dyDescent="0.35">
      <c r="P8" s="399"/>
      <c r="Q8" s="376" t="s">
        <v>298</v>
      </c>
      <c r="R8" s="374">
        <f>'[1]Analyse GB'!O8</f>
        <v>1</v>
      </c>
    </row>
    <row r="9" spans="16:18" x14ac:dyDescent="0.35">
      <c r="P9" s="399"/>
      <c r="Q9" s="376" t="s">
        <v>283</v>
      </c>
      <c r="R9" s="374">
        <f>'[1]Analyse GB'!O9</f>
        <v>2</v>
      </c>
    </row>
    <row r="10" spans="16:18" x14ac:dyDescent="0.35">
      <c r="P10" s="403"/>
      <c r="Q10" s="377" t="s">
        <v>17</v>
      </c>
      <c r="R10" s="374">
        <f>'[1]Analyse GB'!O10</f>
        <v>3</v>
      </c>
    </row>
    <row r="11" spans="16:18" x14ac:dyDescent="0.35">
      <c r="P11" s="404" t="s">
        <v>458</v>
      </c>
      <c r="Q11" s="405"/>
      <c r="R11" s="374">
        <f>('[1]Analyse GB'!O11+'[1]Analyse GB'!O14)</f>
        <v>4</v>
      </c>
    </row>
    <row r="12" spans="16:18" x14ac:dyDescent="0.35">
      <c r="P12" s="404" t="s">
        <v>459</v>
      </c>
      <c r="Q12" s="405"/>
      <c r="R12" s="374">
        <f>('[1]Analyse GB'!O12+'[1]Analyse GB'!O15)</f>
        <v>1</v>
      </c>
    </row>
    <row r="13" spans="16:18" x14ac:dyDescent="0.35">
      <c r="P13" s="404" t="s">
        <v>460</v>
      </c>
      <c r="Q13" s="405"/>
      <c r="R13" s="374">
        <f>('[1]Analyse GB'!O13+'[1]Analyse GB'!O16)</f>
        <v>1</v>
      </c>
    </row>
    <row r="14" spans="16:18" x14ac:dyDescent="0.35">
      <c r="P14" s="398" t="s">
        <v>146</v>
      </c>
      <c r="Q14" s="379" t="s">
        <v>307</v>
      </c>
      <c r="R14" s="374">
        <f>'[1]Analyse GB'!O17</f>
        <v>1</v>
      </c>
    </row>
    <row r="15" spans="16:18" x14ac:dyDescent="0.35">
      <c r="P15" s="399"/>
      <c r="Q15" s="376" t="s">
        <v>308</v>
      </c>
      <c r="R15" s="374">
        <f>'[1]Analyse GB'!O18</f>
        <v>6</v>
      </c>
    </row>
    <row r="16" spans="16:18" ht="15" thickBot="1" x14ac:dyDescent="0.4">
      <c r="P16" s="400"/>
      <c r="Q16" s="376" t="s">
        <v>309</v>
      </c>
      <c r="R16" s="374">
        <f>'[1]Analyse GB'!O19</f>
        <v>0</v>
      </c>
    </row>
    <row r="17" spans="16:18" x14ac:dyDescent="0.35">
      <c r="P17" s="380"/>
      <c r="Q17" s="376" t="s">
        <v>22</v>
      </c>
      <c r="R17" s="374">
        <f>'[1]Analyse GB'!O20</f>
        <v>0</v>
      </c>
    </row>
    <row r="18" spans="16:18" ht="15" thickBot="1" x14ac:dyDescent="0.4">
      <c r="P18" s="381"/>
      <c r="Q18" s="382" t="s">
        <v>12</v>
      </c>
      <c r="R18" s="374">
        <f>'[1]Analyse GB'!O21</f>
        <v>1</v>
      </c>
    </row>
    <row r="19" spans="16:18" x14ac:dyDescent="0.35">
      <c r="Q19" s="383" t="s">
        <v>461</v>
      </c>
      <c r="R19" s="384">
        <f>SUM(R4:R18)</f>
        <v>24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'[1]Analyse GB'!O4/'[1]Analyse GB'!$O$22</f>
        <v>8.3333333333333329E-2</v>
      </c>
    </row>
    <row r="24" spans="16:18" x14ac:dyDescent="0.35">
      <c r="P24" s="399"/>
      <c r="Q24" s="376" t="s">
        <v>282</v>
      </c>
      <c r="R24" s="385">
        <f>'[1]Analyse GB'!O5/'[1]Analyse GB'!$O$22</f>
        <v>0</v>
      </c>
    </row>
    <row r="25" spans="16:18" x14ac:dyDescent="0.35">
      <c r="P25" s="399"/>
      <c r="Q25" s="376" t="s">
        <v>297</v>
      </c>
      <c r="R25" s="385">
        <f>'[1]Analyse GB'!O6/'[1]Analyse GB'!$O$22</f>
        <v>0</v>
      </c>
    </row>
    <row r="26" spans="16:18" x14ac:dyDescent="0.35">
      <c r="P26" s="399"/>
      <c r="Q26" s="376" t="s">
        <v>296</v>
      </c>
      <c r="R26" s="385">
        <f>'[1]Analyse GB'!O7/'[1]Analyse GB'!$O$22</f>
        <v>8.3333333333333329E-2</v>
      </c>
    </row>
    <row r="27" spans="16:18" x14ac:dyDescent="0.35">
      <c r="P27" s="399"/>
      <c r="Q27" s="376" t="s">
        <v>298</v>
      </c>
      <c r="R27" s="385">
        <f>'[1]Analyse GB'!O8/'[1]Analyse GB'!$O$22</f>
        <v>4.1666666666666664E-2</v>
      </c>
    </row>
    <row r="28" spans="16:18" x14ac:dyDescent="0.35">
      <c r="P28" s="399"/>
      <c r="Q28" s="376" t="s">
        <v>283</v>
      </c>
      <c r="R28" s="385">
        <f>'[1]Analyse GB'!O9/'[1]Analyse GB'!$O$22</f>
        <v>8.3333333333333329E-2</v>
      </c>
    </row>
    <row r="29" spans="16:18" x14ac:dyDescent="0.35">
      <c r="P29" s="403"/>
      <c r="Q29" s="377" t="s">
        <v>17</v>
      </c>
      <c r="R29" s="385">
        <f>'[1]Analyse GB'!O10/'[1]Analyse GB'!$O$22</f>
        <v>0.125</v>
      </c>
    </row>
    <row r="30" spans="16:18" x14ac:dyDescent="0.35">
      <c r="P30" s="404" t="s">
        <v>458</v>
      </c>
      <c r="Q30" s="405"/>
      <c r="R30" s="385">
        <f>('[1]Analyse GB'!O11+'[1]Analyse GB'!O14)/'[1]Analyse GB'!$O$22</f>
        <v>0.16666666666666666</v>
      </c>
    </row>
    <row r="31" spans="16:18" x14ac:dyDescent="0.35">
      <c r="P31" s="404" t="s">
        <v>459</v>
      </c>
      <c r="Q31" s="405"/>
      <c r="R31" s="385">
        <f>('[1]Analyse GB'!O12+'[1]Analyse GB'!O15)/'[1]Analyse GB'!$O$22</f>
        <v>4.1666666666666664E-2</v>
      </c>
    </row>
    <row r="32" spans="16:18" x14ac:dyDescent="0.35">
      <c r="P32" s="404" t="s">
        <v>460</v>
      </c>
      <c r="Q32" s="405"/>
      <c r="R32" s="385">
        <f>('[1]Analyse GB'!O13+'[1]Analyse GB'!O16)/'[1]Analyse GB'!$O$22</f>
        <v>4.1666666666666664E-2</v>
      </c>
    </row>
    <row r="33" spans="16:19" x14ac:dyDescent="0.35">
      <c r="P33" s="398" t="s">
        <v>146</v>
      </c>
      <c r="Q33" s="379" t="s">
        <v>307</v>
      </c>
      <c r="R33" s="385">
        <f>'[1]Analyse GB'!O17/'[1]Analyse GB'!$O$22</f>
        <v>4.1666666666666664E-2</v>
      </c>
    </row>
    <row r="34" spans="16:19" x14ac:dyDescent="0.35">
      <c r="P34" s="399"/>
      <c r="Q34" s="376" t="s">
        <v>308</v>
      </c>
      <c r="R34" s="385">
        <f>'[1]Analyse GB'!O18/'[1]Analyse GB'!$O$22</f>
        <v>0.25</v>
      </c>
    </row>
    <row r="35" spans="16:19" ht="15" thickBot="1" x14ac:dyDescent="0.4">
      <c r="P35" s="400"/>
      <c r="Q35" s="376" t="s">
        <v>309</v>
      </c>
      <c r="R35" s="385">
        <f>'[1]Analyse GB'!O19/'[1]Analyse GB'!$O$22</f>
        <v>0</v>
      </c>
    </row>
    <row r="36" spans="16:19" x14ac:dyDescent="0.35">
      <c r="P36" s="380"/>
      <c r="Q36" s="376" t="s">
        <v>22</v>
      </c>
      <c r="R36" s="385">
        <f>'[1]Analyse GB'!O20/'[1]Analyse GB'!$O$22</f>
        <v>0</v>
      </c>
    </row>
    <row r="37" spans="16:19" ht="15" thickBot="1" x14ac:dyDescent="0.4">
      <c r="P37" s="381"/>
      <c r="Q37" s="382" t="s">
        <v>12</v>
      </c>
      <c r="R37" s="385">
        <f>'[1]Analyse GB'!O21/'[1]Analyse GB'!$O$22</f>
        <v>4.1666666666666664E-2</v>
      </c>
    </row>
    <row r="38" spans="16:19" x14ac:dyDescent="0.35">
      <c r="Q38" s="383" t="s">
        <v>461</v>
      </c>
      <c r="R38" s="386">
        <f>SUM(R23:R37)</f>
        <v>0.99999999999999978</v>
      </c>
    </row>
    <row r="41" spans="16:19" ht="15" thickBot="1" x14ac:dyDescent="0.4">
      <c r="P41" s="406" t="s">
        <v>464</v>
      </c>
      <c r="Q41" s="406"/>
      <c r="R41" s="125" t="s">
        <v>150</v>
      </c>
    </row>
    <row r="42" spans="16:19" ht="15" thickBot="1" x14ac:dyDescent="0.4">
      <c r="P42" s="407" t="s">
        <v>458</v>
      </c>
      <c r="Q42" s="408"/>
      <c r="R42" s="387">
        <f>('[1]Analyse GB'!P11+'[1]Analyse GB'!P14)/2</f>
        <v>0.5</v>
      </c>
      <c r="S42" s="411" t="s">
        <v>465</v>
      </c>
    </row>
    <row r="43" spans="16:19" ht="15" thickBot="1" x14ac:dyDescent="0.4">
      <c r="P43" s="404" t="s">
        <v>459</v>
      </c>
      <c r="Q43" s="410"/>
      <c r="R43" s="387" t="e">
        <f>('[1]Analyse GB'!P12+'[1]Analyse GB'!P15)/2</f>
        <v>#DIV/0!</v>
      </c>
      <c r="S43" s="411"/>
    </row>
    <row r="44" spans="16:19" x14ac:dyDescent="0.35">
      <c r="P44" s="404" t="s">
        <v>460</v>
      </c>
      <c r="Q44" s="410"/>
      <c r="R44" s="387" t="e">
        <f>('[1]Analyse GB'!P13+'[1]Analyse GB'!P16)/2</f>
        <v>#DIV/0!</v>
      </c>
      <c r="S44" s="411"/>
    </row>
    <row r="45" spans="16:19" x14ac:dyDescent="0.35">
      <c r="P45" s="398" t="s">
        <v>295</v>
      </c>
      <c r="Q45" s="378" t="s">
        <v>15</v>
      </c>
      <c r="R45" s="388">
        <f>'[1]Analyse GB'!P4</f>
        <v>0.5</v>
      </c>
    </row>
    <row r="46" spans="16:19" x14ac:dyDescent="0.35">
      <c r="P46" s="399"/>
      <c r="Q46" s="375" t="s">
        <v>282</v>
      </c>
      <c r="R46" s="388" t="e">
        <f>'[1]Analyse GB'!P5</f>
        <v>#DIV/0!</v>
      </c>
    </row>
    <row r="47" spans="16:19" x14ac:dyDescent="0.35">
      <c r="P47" s="399"/>
      <c r="Q47" s="375" t="s">
        <v>297</v>
      </c>
      <c r="R47" s="388" t="e">
        <f>'[1]Analyse GB'!P6</f>
        <v>#DIV/0!</v>
      </c>
    </row>
    <row r="48" spans="16:19" x14ac:dyDescent="0.35">
      <c r="P48" s="399"/>
      <c r="Q48" s="375" t="s">
        <v>296</v>
      </c>
      <c r="R48" s="388">
        <f>'[1]Analyse GB'!P7</f>
        <v>1</v>
      </c>
    </row>
    <row r="49" spans="16:18" x14ac:dyDescent="0.35">
      <c r="P49" s="399"/>
      <c r="Q49" s="375" t="s">
        <v>298</v>
      </c>
      <c r="R49" s="388">
        <f>'[1]Analyse GB'!P8</f>
        <v>1</v>
      </c>
    </row>
    <row r="50" spans="16:18" x14ac:dyDescent="0.35">
      <c r="P50" s="399"/>
      <c r="Q50" s="375" t="s">
        <v>283</v>
      </c>
      <c r="R50" s="388">
        <f>'[1]Analyse GB'!P9</f>
        <v>1</v>
      </c>
    </row>
    <row r="51" spans="16:18" x14ac:dyDescent="0.35">
      <c r="P51" s="403"/>
      <c r="Q51" s="352" t="s">
        <v>17</v>
      </c>
      <c r="R51" s="388">
        <f>'[1]Analyse GB'!P10</f>
        <v>0.66666666666666663</v>
      </c>
    </row>
    <row r="52" spans="16:18" x14ac:dyDescent="0.35">
      <c r="P52" s="398" t="s">
        <v>146</v>
      </c>
      <c r="Q52" s="378" t="s">
        <v>307</v>
      </c>
      <c r="R52" s="389">
        <f>'[1]Analyse GB'!P17</f>
        <v>1</v>
      </c>
    </row>
    <row r="53" spans="16:18" x14ac:dyDescent="0.35">
      <c r="P53" s="399"/>
      <c r="Q53" s="375" t="s">
        <v>308</v>
      </c>
      <c r="R53" s="389">
        <f>'[1]Analyse GB'!P18</f>
        <v>0.33333333333333331</v>
      </c>
    </row>
    <row r="54" spans="16:18" ht="15" thickBot="1" x14ac:dyDescent="0.4">
      <c r="P54" s="400"/>
      <c r="Q54" s="375" t="s">
        <v>309</v>
      </c>
      <c r="R54" s="389" t="e">
        <f>'[1]Analyse GB'!P19</f>
        <v>#DIV/0!</v>
      </c>
    </row>
    <row r="55" spans="16:18" x14ac:dyDescent="0.35">
      <c r="P55" s="380"/>
      <c r="Q55" s="375" t="s">
        <v>22</v>
      </c>
      <c r="R55" s="389" t="e">
        <f>'[1]Analyse GB'!P20</f>
        <v>#DIV/0!</v>
      </c>
    </row>
    <row r="56" spans="16:18" ht="15" thickBot="1" x14ac:dyDescent="0.4">
      <c r="P56" s="381"/>
      <c r="Q56" s="143" t="s">
        <v>12</v>
      </c>
      <c r="R56" s="389">
        <f>'[1]Analyse GB'!P21</f>
        <v>1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E35CD-291E-4DEA-BA81-ED036F707156}">
  <sheetPr codeName="Feuil28"/>
  <dimension ref="P3:S58"/>
  <sheetViews>
    <sheetView topLeftCell="A41" workbookViewId="0">
      <selection activeCell="M24" sqref="M24"/>
    </sheetView>
  </sheetViews>
  <sheetFormatPr baseColWidth="10" defaultRowHeight="14.5" x14ac:dyDescent="0.35"/>
  <cols>
    <col min="3" max="3" width="21.6328125" customWidth="1"/>
    <col min="17" max="17" width="20.36328125" customWidth="1"/>
    <col min="18" max="18" width="12.81640625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/>
    </row>
    <row r="5" spans="16:18" x14ac:dyDescent="0.35">
      <c r="P5" s="399"/>
      <c r="Q5" s="376" t="s">
        <v>282</v>
      </c>
      <c r="R5" s="374"/>
    </row>
    <row r="6" spans="16:18" x14ac:dyDescent="0.35">
      <c r="P6" s="399"/>
      <c r="Q6" s="376" t="s">
        <v>297</v>
      </c>
      <c r="R6" s="374"/>
    </row>
    <row r="7" spans="16:18" x14ac:dyDescent="0.35">
      <c r="P7" s="399"/>
      <c r="Q7" s="376" t="s">
        <v>296</v>
      </c>
      <c r="R7" s="374"/>
    </row>
    <row r="8" spans="16:18" x14ac:dyDescent="0.35">
      <c r="P8" s="399"/>
      <c r="Q8" s="376" t="s">
        <v>298</v>
      </c>
      <c r="R8" s="374"/>
    </row>
    <row r="9" spans="16:18" x14ac:dyDescent="0.35">
      <c r="P9" s="399"/>
      <c r="Q9" s="376" t="s">
        <v>283</v>
      </c>
      <c r="R9" s="374"/>
    </row>
    <row r="10" spans="16:18" x14ac:dyDescent="0.35">
      <c r="P10" s="403"/>
      <c r="Q10" s="377" t="s">
        <v>17</v>
      </c>
      <c r="R10" s="374"/>
    </row>
    <row r="11" spans="16:18" x14ac:dyDescent="0.35">
      <c r="P11" s="404" t="s">
        <v>458</v>
      </c>
      <c r="Q11" s="405"/>
      <c r="R11" s="374"/>
    </row>
    <row r="12" spans="16:18" x14ac:dyDescent="0.35">
      <c r="P12" s="404" t="s">
        <v>459</v>
      </c>
      <c r="Q12" s="405"/>
      <c r="R12" s="374"/>
    </row>
    <row r="13" spans="16:18" x14ac:dyDescent="0.35">
      <c r="P13" s="404" t="s">
        <v>460</v>
      </c>
      <c r="Q13" s="405"/>
      <c r="R13" s="374"/>
    </row>
    <row r="14" spans="16:18" x14ac:dyDescent="0.35">
      <c r="P14" s="398" t="s">
        <v>146</v>
      </c>
      <c r="Q14" s="379" t="s">
        <v>307</v>
      </c>
      <c r="R14" s="374"/>
    </row>
    <row r="15" spans="16:18" x14ac:dyDescent="0.35">
      <c r="P15" s="399"/>
      <c r="Q15" s="376" t="s">
        <v>308</v>
      </c>
      <c r="R15" s="374"/>
    </row>
    <row r="16" spans="16:18" ht="15" thickBot="1" x14ac:dyDescent="0.4">
      <c r="P16" s="400"/>
      <c r="Q16" s="376" t="s">
        <v>309</v>
      </c>
      <c r="R16" s="374"/>
    </row>
    <row r="17" spans="16:18" x14ac:dyDescent="0.35">
      <c r="P17" s="380"/>
      <c r="Q17" s="376" t="s">
        <v>22</v>
      </c>
      <c r="R17" s="374"/>
    </row>
    <row r="18" spans="16:18" ht="15" thickBot="1" x14ac:dyDescent="0.4">
      <c r="P18" s="381"/>
      <c r="Q18" s="382" t="s">
        <v>12</v>
      </c>
      <c r="R18" s="374"/>
    </row>
    <row r="19" spans="16:18" x14ac:dyDescent="0.35">
      <c r="Q19" s="383" t="s">
        <v>461</v>
      </c>
      <c r="R19" s="384">
        <f>SUM(R4:R18)</f>
        <v>0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/>
    </row>
    <row r="24" spans="16:18" x14ac:dyDescent="0.35">
      <c r="P24" s="399"/>
      <c r="Q24" s="376" t="s">
        <v>282</v>
      </c>
      <c r="R24" s="385"/>
    </row>
    <row r="25" spans="16:18" x14ac:dyDescent="0.35">
      <c r="P25" s="399"/>
      <c r="Q25" s="376" t="s">
        <v>297</v>
      </c>
      <c r="R25" s="385"/>
    </row>
    <row r="26" spans="16:18" x14ac:dyDescent="0.35">
      <c r="P26" s="399"/>
      <c r="Q26" s="376" t="s">
        <v>296</v>
      </c>
      <c r="R26" s="385"/>
    </row>
    <row r="27" spans="16:18" x14ac:dyDescent="0.35">
      <c r="P27" s="399"/>
      <c r="Q27" s="376" t="s">
        <v>298</v>
      </c>
      <c r="R27" s="385"/>
    </row>
    <row r="28" spans="16:18" x14ac:dyDescent="0.35">
      <c r="P28" s="399"/>
      <c r="Q28" s="376" t="s">
        <v>283</v>
      </c>
      <c r="R28" s="385"/>
    </row>
    <row r="29" spans="16:18" x14ac:dyDescent="0.35">
      <c r="P29" s="403"/>
      <c r="Q29" s="377" t="s">
        <v>17</v>
      </c>
      <c r="R29" s="385"/>
    </row>
    <row r="30" spans="16:18" x14ac:dyDescent="0.35">
      <c r="P30" s="404" t="s">
        <v>458</v>
      </c>
      <c r="Q30" s="405"/>
      <c r="R30" s="385"/>
    </row>
    <row r="31" spans="16:18" x14ac:dyDescent="0.35">
      <c r="P31" s="404" t="s">
        <v>459</v>
      </c>
      <c r="Q31" s="405"/>
      <c r="R31" s="385"/>
    </row>
    <row r="32" spans="16:18" x14ac:dyDescent="0.35">
      <c r="P32" s="404" t="s">
        <v>460</v>
      </c>
      <c r="Q32" s="405"/>
      <c r="R32" s="385"/>
    </row>
    <row r="33" spans="16:19" x14ac:dyDescent="0.35">
      <c r="P33" s="398" t="s">
        <v>146</v>
      </c>
      <c r="Q33" s="379" t="s">
        <v>307</v>
      </c>
      <c r="R33" s="385"/>
    </row>
    <row r="34" spans="16:19" x14ac:dyDescent="0.35">
      <c r="P34" s="399"/>
      <c r="Q34" s="376" t="s">
        <v>308</v>
      </c>
      <c r="R34" s="385"/>
    </row>
    <row r="35" spans="16:19" ht="15" thickBot="1" x14ac:dyDescent="0.4">
      <c r="P35" s="400"/>
      <c r="Q35" s="376" t="s">
        <v>309</v>
      </c>
      <c r="R35" s="385"/>
    </row>
    <row r="36" spans="16:19" x14ac:dyDescent="0.35">
      <c r="P36" s="380"/>
      <c r="Q36" s="376" t="s">
        <v>22</v>
      </c>
      <c r="R36" s="385"/>
    </row>
    <row r="37" spans="16:19" ht="15" thickBot="1" x14ac:dyDescent="0.4">
      <c r="P37" s="381"/>
      <c r="Q37" s="382" t="s">
        <v>12</v>
      </c>
      <c r="R37" s="385"/>
    </row>
    <row r="38" spans="16:19" x14ac:dyDescent="0.35">
      <c r="Q38" s="383" t="s">
        <v>461</v>
      </c>
      <c r="R38" s="386"/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/>
      <c r="S42" s="409" t="s">
        <v>465</v>
      </c>
    </row>
    <row r="43" spans="16:19" ht="15" thickBot="1" x14ac:dyDescent="0.4">
      <c r="P43" s="404" t="s">
        <v>459</v>
      </c>
      <c r="Q43" s="410"/>
      <c r="R43" s="394"/>
      <c r="S43" s="409"/>
    </row>
    <row r="44" spans="16:19" x14ac:dyDescent="0.35">
      <c r="P44" s="404" t="s">
        <v>460</v>
      </c>
      <c r="Q44" s="410"/>
      <c r="R44" s="394"/>
      <c r="S44" s="409"/>
    </row>
    <row r="45" spans="16:19" x14ac:dyDescent="0.35">
      <c r="P45" s="398" t="s">
        <v>295</v>
      </c>
      <c r="Q45" s="378" t="s">
        <v>15</v>
      </c>
      <c r="R45" s="388"/>
    </row>
    <row r="46" spans="16:19" x14ac:dyDescent="0.35">
      <c r="P46" s="399"/>
      <c r="Q46" s="375" t="s">
        <v>282</v>
      </c>
      <c r="R46" s="388"/>
    </row>
    <row r="47" spans="16:19" x14ac:dyDescent="0.35">
      <c r="P47" s="399"/>
      <c r="Q47" s="375" t="s">
        <v>297</v>
      </c>
      <c r="R47" s="388"/>
    </row>
    <row r="48" spans="16:19" x14ac:dyDescent="0.35">
      <c r="P48" s="399"/>
      <c r="Q48" s="375" t="s">
        <v>296</v>
      </c>
      <c r="R48" s="388"/>
    </row>
    <row r="49" spans="16:18" x14ac:dyDescent="0.35">
      <c r="P49" s="399"/>
      <c r="Q49" s="375" t="s">
        <v>298</v>
      </c>
      <c r="R49" s="388"/>
    </row>
    <row r="50" spans="16:18" x14ac:dyDescent="0.35">
      <c r="P50" s="399"/>
      <c r="Q50" s="375" t="s">
        <v>283</v>
      </c>
      <c r="R50" s="388"/>
    </row>
    <row r="51" spans="16:18" x14ac:dyDescent="0.35">
      <c r="P51" s="403"/>
      <c r="Q51" s="352" t="s">
        <v>17</v>
      </c>
      <c r="R51" s="388"/>
    </row>
    <row r="52" spans="16:18" x14ac:dyDescent="0.35">
      <c r="P52" s="398" t="s">
        <v>146</v>
      </c>
      <c r="Q52" s="378" t="s">
        <v>307</v>
      </c>
      <c r="R52" s="389"/>
    </row>
    <row r="53" spans="16:18" x14ac:dyDescent="0.35">
      <c r="P53" s="399"/>
      <c r="Q53" s="375" t="s">
        <v>308</v>
      </c>
      <c r="R53" s="389"/>
    </row>
    <row r="54" spans="16:18" ht="15" thickBot="1" x14ac:dyDescent="0.4">
      <c r="P54" s="400"/>
      <c r="Q54" s="375" t="s">
        <v>309</v>
      </c>
      <c r="R54" s="389"/>
    </row>
    <row r="55" spans="16:18" x14ac:dyDescent="0.35">
      <c r="P55" s="380"/>
      <c r="Q55" s="375" t="s">
        <v>22</v>
      </c>
      <c r="R55" s="389"/>
    </row>
    <row r="56" spans="16:18" ht="15" thickBot="1" x14ac:dyDescent="0.4">
      <c r="P56" s="381"/>
      <c r="Q56" s="143" t="s">
        <v>12</v>
      </c>
      <c r="R56" s="389"/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Feuil8"/>
  <dimension ref="A1:S5093"/>
  <sheetViews>
    <sheetView topLeftCell="A696" zoomScale="70" zoomScaleNormal="70" workbookViewId="0">
      <selection activeCell="A472" sqref="A472:A478"/>
    </sheetView>
  </sheetViews>
  <sheetFormatPr baseColWidth="10" defaultColWidth="8.7265625" defaultRowHeight="14.5" x14ac:dyDescent="0.35"/>
  <cols>
    <col min="1" max="1" width="27.54296875" customWidth="1"/>
    <col min="4" max="4" width="28" customWidth="1"/>
    <col min="5" max="5" width="25.453125" customWidth="1"/>
    <col min="7" max="7" width="19.453125" customWidth="1"/>
    <col min="8" max="8" width="18.54296875" customWidth="1"/>
    <col min="9" max="9" width="14.7265625" customWidth="1"/>
    <col min="11" max="11" width="16.08984375" customWidth="1"/>
    <col min="12" max="12" width="7.81640625" customWidth="1"/>
    <col min="13" max="13" width="8" customWidth="1"/>
    <col min="14" max="14" width="8.08984375" customWidth="1"/>
    <col min="15" max="15" width="12.08984375" customWidth="1"/>
    <col min="16" max="16" width="15.81640625" customWidth="1"/>
    <col min="17" max="17" width="6.36328125" customWidth="1"/>
    <col min="19" max="19" width="26.36328125" customWidth="1"/>
  </cols>
  <sheetData>
    <row r="1" spans="1:19" ht="15" thickBot="1" x14ac:dyDescent="0.4">
      <c r="A1" s="80"/>
      <c r="B1" s="59" t="s">
        <v>0</v>
      </c>
      <c r="C1" s="59" t="s">
        <v>1</v>
      </c>
      <c r="D1" s="59" t="s">
        <v>2</v>
      </c>
      <c r="E1" s="59" t="s">
        <v>3</v>
      </c>
      <c r="F1" s="59" t="s">
        <v>4</v>
      </c>
      <c r="G1" s="59" t="s">
        <v>5</v>
      </c>
      <c r="H1" s="59" t="s">
        <v>6</v>
      </c>
      <c r="I1" s="59" t="s">
        <v>7</v>
      </c>
      <c r="J1" s="59" t="s">
        <v>8</v>
      </c>
      <c r="K1" s="59" t="s">
        <v>156</v>
      </c>
      <c r="L1" s="59" t="s">
        <v>9</v>
      </c>
      <c r="M1" s="59" t="s">
        <v>157</v>
      </c>
      <c r="N1" s="59" t="s">
        <v>158</v>
      </c>
      <c r="O1" s="59" t="s">
        <v>159</v>
      </c>
      <c r="P1" s="59" t="s">
        <v>213</v>
      </c>
      <c r="Q1" s="59" t="s">
        <v>225</v>
      </c>
      <c r="R1" s="60" t="s">
        <v>226</v>
      </c>
      <c r="S1" s="349" t="s">
        <v>411</v>
      </c>
    </row>
    <row r="2" spans="1:19" x14ac:dyDescent="0.35">
      <c r="A2" s="81" t="s">
        <v>77</v>
      </c>
      <c r="B2" s="17">
        <v>377240</v>
      </c>
      <c r="C2" s="17">
        <v>14880</v>
      </c>
      <c r="D2" s="17" t="s">
        <v>78</v>
      </c>
      <c r="E2" s="17" t="s">
        <v>343</v>
      </c>
      <c r="F2" s="17" t="s">
        <v>280</v>
      </c>
      <c r="G2" s="17" t="s">
        <v>308</v>
      </c>
      <c r="H2" s="17" t="s">
        <v>80</v>
      </c>
      <c r="I2" s="17" t="s">
        <v>78</v>
      </c>
      <c r="J2" s="17" t="s">
        <v>78</v>
      </c>
      <c r="K2" s="17" t="s">
        <v>78</v>
      </c>
      <c r="L2" s="17" t="s">
        <v>78</v>
      </c>
      <c r="M2" s="17" t="s">
        <v>78</v>
      </c>
      <c r="N2" s="17" t="s">
        <v>78</v>
      </c>
      <c r="O2" s="17"/>
      <c r="P2" s="17" t="s">
        <v>78</v>
      </c>
      <c r="Q2" s="17" t="s">
        <v>78</v>
      </c>
      <c r="R2" s="17" t="s">
        <v>78</v>
      </c>
      <c r="S2" s="18" t="s">
        <v>78</v>
      </c>
    </row>
    <row r="3" spans="1:19" x14ac:dyDescent="0.35">
      <c r="A3" s="82" t="s">
        <v>77</v>
      </c>
      <c r="B3" s="19">
        <v>585480</v>
      </c>
      <c r="C3" s="19">
        <v>23240</v>
      </c>
      <c r="D3" s="19" t="s">
        <v>78</v>
      </c>
      <c r="E3" s="19" t="s">
        <v>413</v>
      </c>
      <c r="F3" s="19" t="s">
        <v>10</v>
      </c>
      <c r="G3" s="19" t="s">
        <v>15</v>
      </c>
      <c r="H3" s="19" t="s">
        <v>80</v>
      </c>
      <c r="I3" s="19" t="s">
        <v>78</v>
      </c>
      <c r="J3" s="19" t="s">
        <v>78</v>
      </c>
      <c r="K3" s="19" t="s">
        <v>78</v>
      </c>
      <c r="L3" s="19" t="s">
        <v>78</v>
      </c>
      <c r="M3" s="19" t="s">
        <v>78</v>
      </c>
      <c r="N3" s="19" t="s">
        <v>78</v>
      </c>
      <c r="O3" s="19"/>
      <c r="P3" s="19" t="s">
        <v>78</v>
      </c>
      <c r="Q3" s="19" t="s">
        <v>78</v>
      </c>
      <c r="R3" s="19" t="s">
        <v>78</v>
      </c>
      <c r="S3" s="20" t="s">
        <v>78</v>
      </c>
    </row>
    <row r="4" spans="1:19" x14ac:dyDescent="0.35">
      <c r="A4" s="82" t="s">
        <v>77</v>
      </c>
      <c r="B4" s="19">
        <v>76480</v>
      </c>
      <c r="C4" s="19">
        <v>15520</v>
      </c>
      <c r="D4" s="19" t="s">
        <v>78</v>
      </c>
      <c r="E4" s="19" t="s">
        <v>78</v>
      </c>
      <c r="F4" s="19" t="s">
        <v>13</v>
      </c>
      <c r="G4" s="19" t="s">
        <v>78</v>
      </c>
      <c r="H4" s="19" t="s">
        <v>80</v>
      </c>
      <c r="I4" s="19" t="s">
        <v>78</v>
      </c>
      <c r="J4" s="19" t="s">
        <v>78</v>
      </c>
      <c r="K4" s="19" t="s">
        <v>78</v>
      </c>
      <c r="L4" s="19" t="s">
        <v>78</v>
      </c>
      <c r="M4" s="19" t="s">
        <v>78</v>
      </c>
      <c r="N4" s="19" t="s">
        <v>78</v>
      </c>
      <c r="O4" s="19"/>
      <c r="P4" s="19" t="s">
        <v>78</v>
      </c>
      <c r="Q4" s="19" t="s">
        <v>78</v>
      </c>
      <c r="R4" s="19" t="s">
        <v>78</v>
      </c>
      <c r="S4" s="20" t="s">
        <v>78</v>
      </c>
    </row>
    <row r="5" spans="1:19" x14ac:dyDescent="0.35">
      <c r="A5" s="82" t="s">
        <v>77</v>
      </c>
      <c r="B5" s="19">
        <v>159000</v>
      </c>
      <c r="C5" s="19">
        <v>17080</v>
      </c>
      <c r="D5" s="19" t="s">
        <v>78</v>
      </c>
      <c r="E5" s="19" t="s">
        <v>78</v>
      </c>
      <c r="F5" s="19" t="s">
        <v>13</v>
      </c>
      <c r="G5" s="19" t="s">
        <v>78</v>
      </c>
      <c r="H5" s="19" t="s">
        <v>80</v>
      </c>
      <c r="I5" s="19" t="s">
        <v>78</v>
      </c>
      <c r="J5" s="19" t="s">
        <v>78</v>
      </c>
      <c r="K5" s="19" t="s">
        <v>78</v>
      </c>
      <c r="L5" s="19" t="s">
        <v>78</v>
      </c>
      <c r="M5" s="19" t="s">
        <v>78</v>
      </c>
      <c r="N5" s="19" t="s">
        <v>78</v>
      </c>
      <c r="O5" s="19"/>
      <c r="P5" s="19" t="s">
        <v>78</v>
      </c>
      <c r="Q5" s="19" t="s">
        <v>78</v>
      </c>
      <c r="R5" s="19" t="s">
        <v>78</v>
      </c>
      <c r="S5" s="20" t="s">
        <v>78</v>
      </c>
    </row>
    <row r="6" spans="1:19" x14ac:dyDescent="0.35">
      <c r="A6" s="82" t="s">
        <v>77</v>
      </c>
      <c r="B6" s="19">
        <v>269160</v>
      </c>
      <c r="C6" s="19">
        <v>29120</v>
      </c>
      <c r="D6" s="19" t="s">
        <v>78</v>
      </c>
      <c r="E6" s="19" t="s">
        <v>343</v>
      </c>
      <c r="F6" s="19" t="s">
        <v>10</v>
      </c>
      <c r="G6" s="19" t="s">
        <v>308</v>
      </c>
      <c r="H6" s="19" t="s">
        <v>80</v>
      </c>
      <c r="I6" s="19" t="s">
        <v>78</v>
      </c>
      <c r="J6" s="19" t="s">
        <v>78</v>
      </c>
      <c r="K6" s="19" t="s">
        <v>78</v>
      </c>
      <c r="L6" s="19" t="s">
        <v>78</v>
      </c>
      <c r="M6" s="19" t="s">
        <v>78</v>
      </c>
      <c r="N6" s="19" t="s">
        <v>78</v>
      </c>
      <c r="O6" s="19" t="s">
        <v>78</v>
      </c>
      <c r="P6" s="19" t="s">
        <v>78</v>
      </c>
      <c r="Q6" s="19" t="s">
        <v>78</v>
      </c>
      <c r="R6" s="19" t="s">
        <v>78</v>
      </c>
      <c r="S6" s="20" t="s">
        <v>78</v>
      </c>
    </row>
    <row r="7" spans="1:19" x14ac:dyDescent="0.35">
      <c r="A7" s="82" t="s">
        <v>81</v>
      </c>
      <c r="B7" s="19">
        <v>1294600</v>
      </c>
      <c r="C7" s="19">
        <v>21160</v>
      </c>
      <c r="D7" s="19" t="s">
        <v>78</v>
      </c>
      <c r="E7" s="19" t="s">
        <v>343</v>
      </c>
      <c r="F7" s="19" t="s">
        <v>83</v>
      </c>
      <c r="G7" s="19" t="s">
        <v>15</v>
      </c>
      <c r="H7" s="19" t="s">
        <v>80</v>
      </c>
      <c r="I7" s="19" t="s">
        <v>78</v>
      </c>
      <c r="J7" s="19" t="s">
        <v>78</v>
      </c>
      <c r="K7" s="19" t="s">
        <v>78</v>
      </c>
      <c r="L7" s="19" t="s">
        <v>78</v>
      </c>
      <c r="M7" s="19" t="s">
        <v>78</v>
      </c>
      <c r="N7" s="19" t="s">
        <v>78</v>
      </c>
      <c r="O7" s="19"/>
      <c r="P7" s="19" t="s">
        <v>78</v>
      </c>
      <c r="Q7" s="19" t="s">
        <v>78</v>
      </c>
      <c r="R7" s="19" t="s">
        <v>78</v>
      </c>
      <c r="S7" s="20" t="s">
        <v>78</v>
      </c>
    </row>
    <row r="8" spans="1:19" x14ac:dyDescent="0.35">
      <c r="A8" s="81" t="s">
        <v>81</v>
      </c>
      <c r="B8" s="17">
        <v>585440</v>
      </c>
      <c r="C8" s="17">
        <v>7000</v>
      </c>
      <c r="D8" s="17" t="s">
        <v>78</v>
      </c>
      <c r="E8" s="17" t="s">
        <v>343</v>
      </c>
      <c r="F8" s="17" t="s">
        <v>11</v>
      </c>
      <c r="G8" s="17" t="s">
        <v>308</v>
      </c>
      <c r="H8" s="17" t="s">
        <v>80</v>
      </c>
      <c r="I8" s="17" t="s">
        <v>78</v>
      </c>
      <c r="J8" s="17" t="s">
        <v>78</v>
      </c>
      <c r="K8" s="17" t="s">
        <v>78</v>
      </c>
      <c r="L8" s="17" t="s">
        <v>78</v>
      </c>
      <c r="M8" s="17" t="s">
        <v>78</v>
      </c>
      <c r="N8" s="17" t="s">
        <v>78</v>
      </c>
      <c r="O8" s="17"/>
      <c r="P8" s="17" t="s">
        <v>78</v>
      </c>
      <c r="Q8" s="17" t="s">
        <v>78</v>
      </c>
      <c r="R8" s="17" t="s">
        <v>78</v>
      </c>
      <c r="S8" s="18" t="s">
        <v>78</v>
      </c>
    </row>
    <row r="9" spans="1:19" x14ac:dyDescent="0.35">
      <c r="A9" s="82" t="s">
        <v>81</v>
      </c>
      <c r="B9" s="19">
        <v>977200</v>
      </c>
      <c r="C9" s="19">
        <v>12720</v>
      </c>
      <c r="D9" s="19" t="s">
        <v>78</v>
      </c>
      <c r="E9" s="19" t="s">
        <v>413</v>
      </c>
      <c r="F9" s="19" t="s">
        <v>10</v>
      </c>
      <c r="G9" s="19" t="s">
        <v>308</v>
      </c>
      <c r="H9" s="19" t="s">
        <v>80</v>
      </c>
      <c r="I9" s="19" t="s">
        <v>78</v>
      </c>
      <c r="J9" s="19" t="s">
        <v>78</v>
      </c>
      <c r="K9" s="19" t="s">
        <v>78</v>
      </c>
      <c r="L9" s="19" t="s">
        <v>78</v>
      </c>
      <c r="M9" s="19" t="s">
        <v>78</v>
      </c>
      <c r="N9" s="19" t="s">
        <v>78</v>
      </c>
      <c r="O9" s="19"/>
      <c r="P9" s="19" t="s">
        <v>78</v>
      </c>
      <c r="Q9" s="19" t="s">
        <v>78</v>
      </c>
      <c r="R9" s="19" t="s">
        <v>78</v>
      </c>
      <c r="S9" s="20" t="s">
        <v>78</v>
      </c>
    </row>
    <row r="10" spans="1:19" x14ac:dyDescent="0.35">
      <c r="A10" s="82" t="s">
        <v>81</v>
      </c>
      <c r="B10" s="19">
        <v>748000</v>
      </c>
      <c r="C10" s="19">
        <v>15160</v>
      </c>
      <c r="D10" s="19" t="s">
        <v>78</v>
      </c>
      <c r="E10" s="19" t="s">
        <v>78</v>
      </c>
      <c r="F10" s="19" t="s">
        <v>13</v>
      </c>
      <c r="G10" s="19" t="s">
        <v>78</v>
      </c>
      <c r="H10" s="19" t="s">
        <v>80</v>
      </c>
      <c r="I10" s="19" t="s">
        <v>78</v>
      </c>
      <c r="J10" s="19" t="s">
        <v>78</v>
      </c>
      <c r="K10" s="19" t="s">
        <v>78</v>
      </c>
      <c r="L10" s="19" t="s">
        <v>78</v>
      </c>
      <c r="M10" s="19" t="s">
        <v>78</v>
      </c>
      <c r="N10" s="19" t="s">
        <v>78</v>
      </c>
      <c r="O10" s="19"/>
      <c r="P10" s="19" t="s">
        <v>78</v>
      </c>
      <c r="Q10" s="19" t="s">
        <v>78</v>
      </c>
      <c r="R10" s="19" t="s">
        <v>78</v>
      </c>
      <c r="S10" s="20" t="s">
        <v>78</v>
      </c>
    </row>
    <row r="11" spans="1:19" x14ac:dyDescent="0.35">
      <c r="A11" s="82" t="s">
        <v>81</v>
      </c>
      <c r="B11" s="19">
        <v>1096680</v>
      </c>
      <c r="C11" s="19">
        <v>18360</v>
      </c>
      <c r="D11" s="19" t="s">
        <v>78</v>
      </c>
      <c r="E11" s="19" t="s">
        <v>343</v>
      </c>
      <c r="F11" s="19" t="s">
        <v>11</v>
      </c>
      <c r="G11" s="19" t="s">
        <v>298</v>
      </c>
      <c r="H11" s="19" t="s">
        <v>80</v>
      </c>
      <c r="I11" s="19" t="s">
        <v>78</v>
      </c>
      <c r="J11" s="19" t="s">
        <v>78</v>
      </c>
      <c r="K11" s="19" t="s">
        <v>78</v>
      </c>
      <c r="L11" s="19" t="s">
        <v>78</v>
      </c>
      <c r="M11" s="19" t="s">
        <v>78</v>
      </c>
      <c r="N11" s="19" t="s">
        <v>78</v>
      </c>
      <c r="O11" s="19" t="s">
        <v>78</v>
      </c>
      <c r="P11" s="19" t="s">
        <v>78</v>
      </c>
      <c r="Q11" s="19" t="s">
        <v>78</v>
      </c>
      <c r="R11" s="19" t="s">
        <v>78</v>
      </c>
      <c r="S11" s="20" t="s">
        <v>78</v>
      </c>
    </row>
    <row r="12" spans="1:19" x14ac:dyDescent="0.35">
      <c r="A12" s="81" t="s">
        <v>82</v>
      </c>
      <c r="B12" s="17">
        <v>1377880</v>
      </c>
      <c r="C12" s="17">
        <v>16920</v>
      </c>
      <c r="D12" s="17" t="s">
        <v>78</v>
      </c>
      <c r="E12" s="17" t="s">
        <v>343</v>
      </c>
      <c r="F12" s="17" t="s">
        <v>11</v>
      </c>
      <c r="G12" s="17" t="s">
        <v>282</v>
      </c>
      <c r="H12" s="17" t="s">
        <v>80</v>
      </c>
      <c r="I12" s="17" t="s">
        <v>78</v>
      </c>
      <c r="J12" s="17" t="s">
        <v>78</v>
      </c>
      <c r="K12" s="17" t="s">
        <v>78</v>
      </c>
      <c r="L12" s="17" t="s">
        <v>78</v>
      </c>
      <c r="M12" s="17" t="s">
        <v>78</v>
      </c>
      <c r="N12" s="17" t="s">
        <v>78</v>
      </c>
      <c r="O12" s="17"/>
      <c r="P12" s="17" t="s">
        <v>78</v>
      </c>
      <c r="Q12" s="17" t="s">
        <v>78</v>
      </c>
      <c r="R12" s="17" t="s">
        <v>78</v>
      </c>
      <c r="S12" s="18" t="s">
        <v>78</v>
      </c>
    </row>
    <row r="13" spans="1:19" x14ac:dyDescent="0.35">
      <c r="A13" s="81" t="s">
        <v>82</v>
      </c>
      <c r="B13" s="17">
        <v>1127000</v>
      </c>
      <c r="C13" s="17">
        <v>15320</v>
      </c>
      <c r="D13" s="17" t="s">
        <v>78</v>
      </c>
      <c r="E13" s="17" t="s">
        <v>413</v>
      </c>
      <c r="F13" s="17" t="s">
        <v>11</v>
      </c>
      <c r="G13" s="17" t="s">
        <v>283</v>
      </c>
      <c r="H13" s="17" t="s">
        <v>80</v>
      </c>
      <c r="I13" s="17" t="s">
        <v>78</v>
      </c>
      <c r="J13" s="17" t="s">
        <v>78</v>
      </c>
      <c r="K13" s="17" t="s">
        <v>78</v>
      </c>
      <c r="L13" s="17" t="s">
        <v>78</v>
      </c>
      <c r="M13" s="17" t="s">
        <v>78</v>
      </c>
      <c r="N13" s="17" t="s">
        <v>78</v>
      </c>
      <c r="O13" s="17"/>
      <c r="P13" s="17" t="s">
        <v>78</v>
      </c>
      <c r="Q13" s="17" t="s">
        <v>78</v>
      </c>
      <c r="R13" s="17" t="s">
        <v>78</v>
      </c>
      <c r="S13" s="18" t="s">
        <v>78</v>
      </c>
    </row>
    <row r="14" spans="1:19" x14ac:dyDescent="0.35">
      <c r="A14" s="82" t="s">
        <v>82</v>
      </c>
      <c r="B14" s="19">
        <v>706360</v>
      </c>
      <c r="C14" s="19">
        <v>11320</v>
      </c>
      <c r="D14" s="19" t="s">
        <v>78</v>
      </c>
      <c r="E14" s="19"/>
      <c r="F14" s="19" t="s">
        <v>13</v>
      </c>
      <c r="G14" s="19"/>
      <c r="H14" s="19" t="s">
        <v>80</v>
      </c>
      <c r="I14" s="19" t="s">
        <v>78</v>
      </c>
      <c r="J14" s="19" t="s">
        <v>78</v>
      </c>
      <c r="K14" s="19" t="s">
        <v>78</v>
      </c>
      <c r="L14" s="19" t="s">
        <v>78</v>
      </c>
      <c r="M14" s="19" t="s">
        <v>78</v>
      </c>
      <c r="N14" s="19" t="s">
        <v>78</v>
      </c>
      <c r="O14" s="19"/>
      <c r="P14" s="19" t="s">
        <v>78</v>
      </c>
      <c r="Q14" s="19" t="s">
        <v>78</v>
      </c>
      <c r="R14" s="19" t="s">
        <v>78</v>
      </c>
      <c r="S14" s="20" t="s">
        <v>418</v>
      </c>
    </row>
    <row r="15" spans="1:19" x14ac:dyDescent="0.35">
      <c r="A15" s="82" t="s">
        <v>82</v>
      </c>
      <c r="B15" s="19">
        <v>763720</v>
      </c>
      <c r="C15" s="19">
        <v>14520</v>
      </c>
      <c r="D15" s="19" t="s">
        <v>78</v>
      </c>
      <c r="E15" s="19" t="s">
        <v>413</v>
      </c>
      <c r="F15" s="19" t="s">
        <v>11</v>
      </c>
      <c r="G15" s="19" t="s">
        <v>15</v>
      </c>
      <c r="H15" s="19" t="s">
        <v>80</v>
      </c>
      <c r="I15" s="19" t="s">
        <v>78</v>
      </c>
      <c r="J15" s="19" t="s">
        <v>78</v>
      </c>
      <c r="K15" s="19" t="s">
        <v>78</v>
      </c>
      <c r="L15" s="19" t="s">
        <v>78</v>
      </c>
      <c r="M15" s="19" t="s">
        <v>78</v>
      </c>
      <c r="N15" s="19" t="s">
        <v>78</v>
      </c>
      <c r="O15" s="19"/>
      <c r="P15" s="19" t="s">
        <v>78</v>
      </c>
      <c r="Q15" s="19" t="s">
        <v>78</v>
      </c>
      <c r="R15" s="19" t="s">
        <v>78</v>
      </c>
      <c r="S15" s="20" t="s">
        <v>78</v>
      </c>
    </row>
    <row r="16" spans="1:19" x14ac:dyDescent="0.35">
      <c r="A16" s="82" t="s">
        <v>82</v>
      </c>
      <c r="B16" s="19">
        <v>1161000</v>
      </c>
      <c r="C16" s="19">
        <v>21000</v>
      </c>
      <c r="D16" s="19" t="s">
        <v>78</v>
      </c>
      <c r="E16" s="19" t="s">
        <v>78</v>
      </c>
      <c r="F16" s="19" t="s">
        <v>79</v>
      </c>
      <c r="G16" s="19" t="s">
        <v>78</v>
      </c>
      <c r="H16" s="19" t="s">
        <v>80</v>
      </c>
      <c r="I16" s="19" t="s">
        <v>78</v>
      </c>
      <c r="J16" s="19" t="s">
        <v>78</v>
      </c>
      <c r="K16" s="19" t="s">
        <v>78</v>
      </c>
      <c r="L16" s="19" t="s">
        <v>78</v>
      </c>
      <c r="M16" s="19" t="s">
        <v>78</v>
      </c>
      <c r="N16" s="19" t="s">
        <v>78</v>
      </c>
      <c r="O16" s="19" t="s">
        <v>78</v>
      </c>
      <c r="P16" s="19" t="s">
        <v>78</v>
      </c>
      <c r="Q16" s="19" t="s">
        <v>78</v>
      </c>
      <c r="R16" s="19" t="s">
        <v>78</v>
      </c>
      <c r="S16" s="20" t="s">
        <v>78</v>
      </c>
    </row>
    <row r="17" spans="1:19" x14ac:dyDescent="0.35">
      <c r="A17" s="82" t="s">
        <v>84</v>
      </c>
      <c r="B17" s="19">
        <v>1423960</v>
      </c>
      <c r="C17" s="19">
        <v>16240</v>
      </c>
      <c r="D17" s="19" t="s">
        <v>78</v>
      </c>
      <c r="E17" s="19" t="s">
        <v>78</v>
      </c>
      <c r="F17" s="19" t="s">
        <v>13</v>
      </c>
      <c r="G17" s="19" t="s">
        <v>78</v>
      </c>
      <c r="H17" s="19" t="s">
        <v>80</v>
      </c>
      <c r="I17" s="19" t="s">
        <v>78</v>
      </c>
      <c r="J17" s="19" t="s">
        <v>78</v>
      </c>
      <c r="K17" s="19" t="s">
        <v>78</v>
      </c>
      <c r="L17" s="19" t="s">
        <v>78</v>
      </c>
      <c r="M17" s="19" t="s">
        <v>78</v>
      </c>
      <c r="N17" s="19" t="s">
        <v>78</v>
      </c>
      <c r="O17" s="19"/>
      <c r="P17" s="19" t="s">
        <v>78</v>
      </c>
      <c r="Q17" s="19" t="s">
        <v>78</v>
      </c>
      <c r="R17" s="19" t="s">
        <v>78</v>
      </c>
      <c r="S17" s="20" t="s">
        <v>78</v>
      </c>
    </row>
    <row r="18" spans="1:19" x14ac:dyDescent="0.35">
      <c r="A18" s="82" t="s">
        <v>84</v>
      </c>
      <c r="B18" s="19">
        <v>1225760</v>
      </c>
      <c r="C18" s="19">
        <v>16080</v>
      </c>
      <c r="D18" s="19" t="s">
        <v>78</v>
      </c>
      <c r="E18" s="19" t="s">
        <v>413</v>
      </c>
      <c r="F18" s="19" t="s">
        <v>280</v>
      </c>
      <c r="G18" s="19" t="s">
        <v>282</v>
      </c>
      <c r="H18" s="19" t="s">
        <v>80</v>
      </c>
      <c r="I18" s="19" t="s">
        <v>78</v>
      </c>
      <c r="J18" s="19" t="s">
        <v>78</v>
      </c>
      <c r="K18" s="19" t="s">
        <v>78</v>
      </c>
      <c r="L18" s="19" t="s">
        <v>78</v>
      </c>
      <c r="M18" s="19" t="s">
        <v>78</v>
      </c>
      <c r="N18" s="19" t="s">
        <v>78</v>
      </c>
      <c r="O18" s="19"/>
      <c r="P18" s="19" t="s">
        <v>78</v>
      </c>
      <c r="Q18" s="19" t="s">
        <v>78</v>
      </c>
      <c r="R18" s="19" t="s">
        <v>78</v>
      </c>
      <c r="S18" s="20" t="s">
        <v>78</v>
      </c>
    </row>
    <row r="19" spans="1:19" x14ac:dyDescent="0.35">
      <c r="A19" s="82" t="s">
        <v>84</v>
      </c>
      <c r="B19" s="19">
        <v>781000</v>
      </c>
      <c r="C19" s="19">
        <v>7000</v>
      </c>
      <c r="D19" s="19" t="s">
        <v>78</v>
      </c>
      <c r="E19" s="19" t="s">
        <v>78</v>
      </c>
      <c r="F19" s="19" t="s">
        <v>13</v>
      </c>
      <c r="G19" s="19" t="s">
        <v>78</v>
      </c>
      <c r="H19" s="19" t="s">
        <v>80</v>
      </c>
      <c r="I19" s="19" t="s">
        <v>78</v>
      </c>
      <c r="J19" s="19" t="s">
        <v>78</v>
      </c>
      <c r="K19" s="19" t="s">
        <v>78</v>
      </c>
      <c r="L19" s="19" t="s">
        <v>78</v>
      </c>
      <c r="M19" s="19" t="s">
        <v>78</v>
      </c>
      <c r="N19" s="19" t="s">
        <v>78</v>
      </c>
      <c r="O19" s="19"/>
      <c r="P19" s="19" t="s">
        <v>78</v>
      </c>
      <c r="Q19" s="19" t="s">
        <v>78</v>
      </c>
      <c r="R19" s="19" t="s">
        <v>78</v>
      </c>
      <c r="S19" s="20" t="s">
        <v>78</v>
      </c>
    </row>
    <row r="20" spans="1:19" x14ac:dyDescent="0.35">
      <c r="A20" s="82" t="s">
        <v>84</v>
      </c>
      <c r="B20" s="19">
        <v>815240</v>
      </c>
      <c r="C20" s="19">
        <v>19920</v>
      </c>
      <c r="D20" s="19" t="s">
        <v>78</v>
      </c>
      <c r="E20" s="19" t="s">
        <v>78</v>
      </c>
      <c r="F20" s="19" t="s">
        <v>13</v>
      </c>
      <c r="G20" s="19" t="s">
        <v>78</v>
      </c>
      <c r="H20" s="19" t="s">
        <v>80</v>
      </c>
      <c r="I20" s="19" t="s">
        <v>78</v>
      </c>
      <c r="J20" s="19" t="s">
        <v>78</v>
      </c>
      <c r="K20" s="19" t="s">
        <v>78</v>
      </c>
      <c r="L20" s="19" t="s">
        <v>78</v>
      </c>
      <c r="M20" s="19" t="s">
        <v>78</v>
      </c>
      <c r="N20" s="19" t="s">
        <v>78</v>
      </c>
      <c r="O20" s="19"/>
      <c r="P20" s="19" t="s">
        <v>78</v>
      </c>
      <c r="Q20" s="19" t="s">
        <v>78</v>
      </c>
      <c r="R20" s="19" t="s">
        <v>78</v>
      </c>
      <c r="S20" s="20" t="s">
        <v>78</v>
      </c>
    </row>
    <row r="21" spans="1:19" x14ac:dyDescent="0.35">
      <c r="A21" s="82" t="s">
        <v>84</v>
      </c>
      <c r="B21" s="19">
        <v>1242000</v>
      </c>
      <c r="C21" s="19">
        <v>10840</v>
      </c>
      <c r="D21" s="19" t="s">
        <v>78</v>
      </c>
      <c r="E21" s="19" t="s">
        <v>343</v>
      </c>
      <c r="F21" s="19" t="s">
        <v>10</v>
      </c>
      <c r="G21" s="19" t="s">
        <v>309</v>
      </c>
      <c r="H21" s="19" t="s">
        <v>80</v>
      </c>
      <c r="I21" s="19" t="s">
        <v>78</v>
      </c>
      <c r="J21" s="19" t="s">
        <v>78</v>
      </c>
      <c r="K21" s="19" t="s">
        <v>78</v>
      </c>
      <c r="L21" s="19" t="s">
        <v>78</v>
      </c>
      <c r="M21" s="19" t="s">
        <v>78</v>
      </c>
      <c r="N21" s="19" t="s">
        <v>78</v>
      </c>
      <c r="O21" s="19" t="s">
        <v>78</v>
      </c>
      <c r="P21" s="19" t="s">
        <v>78</v>
      </c>
      <c r="Q21" s="19" t="s">
        <v>78</v>
      </c>
      <c r="R21" s="19" t="s">
        <v>78</v>
      </c>
      <c r="S21" s="20" t="s">
        <v>78</v>
      </c>
    </row>
    <row r="22" spans="1:19" x14ac:dyDescent="0.35">
      <c r="A22" s="81" t="s">
        <v>85</v>
      </c>
      <c r="B22" s="17">
        <v>1443320</v>
      </c>
      <c r="C22" s="17">
        <v>10800</v>
      </c>
      <c r="D22" s="17" t="s">
        <v>78</v>
      </c>
      <c r="E22" s="17" t="s">
        <v>78</v>
      </c>
      <c r="F22" s="17" t="s">
        <v>13</v>
      </c>
      <c r="G22" s="17" t="s">
        <v>78</v>
      </c>
      <c r="H22" s="17" t="s">
        <v>80</v>
      </c>
      <c r="I22" s="17" t="s">
        <v>78</v>
      </c>
      <c r="J22" s="17" t="s">
        <v>78</v>
      </c>
      <c r="K22" s="17" t="s">
        <v>78</v>
      </c>
      <c r="L22" s="17" t="s">
        <v>78</v>
      </c>
      <c r="M22" s="17" t="s">
        <v>78</v>
      </c>
      <c r="N22" s="17" t="s">
        <v>78</v>
      </c>
      <c r="O22" s="17"/>
      <c r="P22" s="17" t="s">
        <v>78</v>
      </c>
      <c r="Q22" s="17" t="s">
        <v>78</v>
      </c>
      <c r="R22" s="17" t="s">
        <v>78</v>
      </c>
      <c r="S22" s="18" t="s">
        <v>78</v>
      </c>
    </row>
    <row r="23" spans="1:19" x14ac:dyDescent="0.35">
      <c r="A23" s="81" t="s">
        <v>85</v>
      </c>
      <c r="B23" s="17">
        <v>800880</v>
      </c>
      <c r="C23" s="17">
        <v>7000</v>
      </c>
      <c r="D23" s="17" t="s">
        <v>78</v>
      </c>
      <c r="E23" s="17" t="s">
        <v>343</v>
      </c>
      <c r="F23" s="17" t="s">
        <v>11</v>
      </c>
      <c r="G23" s="17" t="s">
        <v>15</v>
      </c>
      <c r="H23" s="17" t="s">
        <v>80</v>
      </c>
      <c r="I23" s="17" t="s">
        <v>78</v>
      </c>
      <c r="J23" s="17" t="s">
        <v>78</v>
      </c>
      <c r="K23" s="17" t="s">
        <v>78</v>
      </c>
      <c r="L23" s="17" t="s">
        <v>78</v>
      </c>
      <c r="M23" s="17" t="s">
        <v>78</v>
      </c>
      <c r="N23" s="17" t="s">
        <v>78</v>
      </c>
      <c r="O23" s="17"/>
      <c r="P23" s="17" t="s">
        <v>78</v>
      </c>
      <c r="Q23" s="17" t="s">
        <v>78</v>
      </c>
      <c r="R23" s="17" t="s">
        <v>78</v>
      </c>
      <c r="S23" s="18" t="s">
        <v>78</v>
      </c>
    </row>
    <row r="24" spans="1:19" x14ac:dyDescent="0.35">
      <c r="A24" s="82" t="s">
        <v>85</v>
      </c>
      <c r="B24" s="19">
        <v>1250560</v>
      </c>
      <c r="C24" s="19">
        <v>7000</v>
      </c>
      <c r="D24" s="19" t="s">
        <v>78</v>
      </c>
      <c r="E24" s="19" t="s">
        <v>413</v>
      </c>
      <c r="F24" s="19" t="s">
        <v>10</v>
      </c>
      <c r="G24" s="19" t="s">
        <v>303</v>
      </c>
      <c r="H24" s="19" t="s">
        <v>80</v>
      </c>
      <c r="I24" s="19" t="s">
        <v>78</v>
      </c>
      <c r="J24" s="19" t="s">
        <v>78</v>
      </c>
      <c r="K24" s="19" t="s">
        <v>78</v>
      </c>
      <c r="L24" s="19" t="s">
        <v>78</v>
      </c>
      <c r="M24" s="19" t="s">
        <v>78</v>
      </c>
      <c r="N24" s="19" t="s">
        <v>78</v>
      </c>
      <c r="O24" s="19"/>
      <c r="P24" s="19" t="s">
        <v>78</v>
      </c>
      <c r="Q24" s="19" t="s">
        <v>78</v>
      </c>
      <c r="R24" s="19" t="s">
        <v>78</v>
      </c>
      <c r="S24" s="20" t="s">
        <v>78</v>
      </c>
    </row>
    <row r="25" spans="1:19" x14ac:dyDescent="0.35">
      <c r="A25" s="82" t="s">
        <v>85</v>
      </c>
      <c r="B25" s="19">
        <v>837520</v>
      </c>
      <c r="C25" s="19">
        <v>11920</v>
      </c>
      <c r="D25" s="19" t="s">
        <v>78</v>
      </c>
      <c r="E25" s="19" t="s">
        <v>413</v>
      </c>
      <c r="F25" s="19" t="s">
        <v>11</v>
      </c>
      <c r="G25" s="19" t="s">
        <v>283</v>
      </c>
      <c r="H25" s="19" t="s">
        <v>80</v>
      </c>
      <c r="I25" s="19" t="s">
        <v>78</v>
      </c>
      <c r="J25" s="19" t="s">
        <v>78</v>
      </c>
      <c r="K25" s="19" t="s">
        <v>78</v>
      </c>
      <c r="L25" s="19" t="s">
        <v>78</v>
      </c>
      <c r="M25" s="19" t="s">
        <v>78</v>
      </c>
      <c r="N25" s="19" t="s">
        <v>78</v>
      </c>
      <c r="O25" s="19"/>
      <c r="P25" s="19" t="s">
        <v>78</v>
      </c>
      <c r="Q25" s="19" t="s">
        <v>78</v>
      </c>
      <c r="R25" s="19" t="s">
        <v>78</v>
      </c>
      <c r="S25" s="20" t="s">
        <v>78</v>
      </c>
    </row>
    <row r="26" spans="1:19" x14ac:dyDescent="0.35">
      <c r="A26" s="82" t="s">
        <v>85</v>
      </c>
      <c r="B26" s="19">
        <v>1303000</v>
      </c>
      <c r="C26" s="19">
        <v>11800</v>
      </c>
      <c r="D26" s="19" t="s">
        <v>78</v>
      </c>
      <c r="E26" s="19" t="s">
        <v>343</v>
      </c>
      <c r="F26" s="19" t="s">
        <v>11</v>
      </c>
      <c r="G26" s="19" t="s">
        <v>308</v>
      </c>
      <c r="H26" s="19" t="s">
        <v>80</v>
      </c>
      <c r="I26" s="19" t="s">
        <v>78</v>
      </c>
      <c r="J26" s="19" t="s">
        <v>78</v>
      </c>
      <c r="K26" s="19" t="s">
        <v>78</v>
      </c>
      <c r="L26" s="19" t="s">
        <v>78</v>
      </c>
      <c r="M26" s="19" t="s">
        <v>78</v>
      </c>
      <c r="N26" s="19" t="s">
        <v>78</v>
      </c>
      <c r="O26" s="19" t="s">
        <v>78</v>
      </c>
      <c r="P26" s="19" t="s">
        <v>78</v>
      </c>
      <c r="Q26" s="19" t="s">
        <v>78</v>
      </c>
      <c r="R26" s="19" t="s">
        <v>78</v>
      </c>
      <c r="S26" s="20" t="s">
        <v>78</v>
      </c>
    </row>
    <row r="27" spans="1:19" x14ac:dyDescent="0.35">
      <c r="A27" s="82" t="s">
        <v>86</v>
      </c>
      <c r="B27" s="19">
        <v>1455320</v>
      </c>
      <c r="C27" s="19">
        <v>7000</v>
      </c>
      <c r="D27" s="19" t="s">
        <v>78</v>
      </c>
      <c r="E27" s="19" t="s">
        <v>343</v>
      </c>
      <c r="F27" s="19" t="s">
        <v>11</v>
      </c>
      <c r="G27" s="19" t="s">
        <v>308</v>
      </c>
      <c r="H27" s="19" t="s">
        <v>80</v>
      </c>
      <c r="I27" s="19" t="s">
        <v>78</v>
      </c>
      <c r="J27" s="19" t="s">
        <v>78</v>
      </c>
      <c r="K27" s="19" t="s">
        <v>78</v>
      </c>
      <c r="L27" s="19" t="s">
        <v>78</v>
      </c>
      <c r="M27" s="19" t="s">
        <v>78</v>
      </c>
      <c r="N27" s="19" t="s">
        <v>78</v>
      </c>
      <c r="O27" s="19"/>
      <c r="P27" s="19" t="s">
        <v>78</v>
      </c>
      <c r="Q27" s="19" t="s">
        <v>78</v>
      </c>
      <c r="R27" s="19" t="s">
        <v>78</v>
      </c>
      <c r="S27" s="20" t="s">
        <v>78</v>
      </c>
    </row>
    <row r="28" spans="1:19" x14ac:dyDescent="0.35">
      <c r="A28" s="82" t="s">
        <v>86</v>
      </c>
      <c r="B28" s="19">
        <v>1150480</v>
      </c>
      <c r="C28" s="19">
        <v>10720</v>
      </c>
      <c r="D28" s="19" t="s">
        <v>78</v>
      </c>
      <c r="E28" s="19" t="s">
        <v>343</v>
      </c>
      <c r="F28" s="19" t="s">
        <v>11</v>
      </c>
      <c r="G28" s="19" t="s">
        <v>283</v>
      </c>
      <c r="H28" s="19" t="s">
        <v>80</v>
      </c>
      <c r="I28" s="19" t="s">
        <v>78</v>
      </c>
      <c r="J28" s="19" t="s">
        <v>78</v>
      </c>
      <c r="K28" s="19" t="s">
        <v>78</v>
      </c>
      <c r="L28" s="19" t="s">
        <v>78</v>
      </c>
      <c r="M28" s="19" t="s">
        <v>78</v>
      </c>
      <c r="N28" s="19" t="s">
        <v>78</v>
      </c>
      <c r="O28" s="19"/>
      <c r="P28" s="19" t="s">
        <v>78</v>
      </c>
      <c r="Q28" s="19" t="s">
        <v>78</v>
      </c>
      <c r="R28" s="19" t="s">
        <v>78</v>
      </c>
      <c r="S28" s="20" t="s">
        <v>78</v>
      </c>
    </row>
    <row r="29" spans="1:19" x14ac:dyDescent="0.35">
      <c r="A29" s="81" t="s">
        <v>86</v>
      </c>
      <c r="B29" s="17">
        <v>1404840</v>
      </c>
      <c r="C29" s="17">
        <v>13960</v>
      </c>
      <c r="D29" s="17" t="s">
        <v>78</v>
      </c>
      <c r="E29" s="17" t="s">
        <v>78</v>
      </c>
      <c r="F29" s="17" t="s">
        <v>13</v>
      </c>
      <c r="G29" s="17" t="s">
        <v>78</v>
      </c>
      <c r="H29" s="17" t="s">
        <v>80</v>
      </c>
      <c r="I29" s="17" t="s">
        <v>78</v>
      </c>
      <c r="J29" s="17" t="s">
        <v>78</v>
      </c>
      <c r="K29" s="17" t="s">
        <v>78</v>
      </c>
      <c r="L29" s="17" t="s">
        <v>78</v>
      </c>
      <c r="M29" s="17" t="s">
        <v>78</v>
      </c>
      <c r="N29" s="17" t="s">
        <v>78</v>
      </c>
      <c r="O29" s="17"/>
      <c r="P29" s="17" t="s">
        <v>78</v>
      </c>
      <c r="Q29" s="17" t="s">
        <v>78</v>
      </c>
      <c r="R29" s="17" t="s">
        <v>78</v>
      </c>
      <c r="S29" s="18" t="s">
        <v>78</v>
      </c>
    </row>
    <row r="30" spans="1:19" x14ac:dyDescent="0.35">
      <c r="A30" s="82" t="s">
        <v>86</v>
      </c>
      <c r="B30" s="19">
        <v>873800</v>
      </c>
      <c r="C30" s="19">
        <v>15280</v>
      </c>
      <c r="D30" s="19" t="s">
        <v>78</v>
      </c>
      <c r="E30" s="19" t="s">
        <v>413</v>
      </c>
      <c r="F30" s="19" t="s">
        <v>11</v>
      </c>
      <c r="G30" s="19" t="s">
        <v>304</v>
      </c>
      <c r="H30" s="19" t="s">
        <v>80</v>
      </c>
      <c r="I30" s="19" t="s">
        <v>78</v>
      </c>
      <c r="J30" s="19" t="s">
        <v>78</v>
      </c>
      <c r="K30" s="19" t="s">
        <v>78</v>
      </c>
      <c r="L30" s="19" t="s">
        <v>78</v>
      </c>
      <c r="M30" s="19" t="s">
        <v>78</v>
      </c>
      <c r="N30" s="19" t="s">
        <v>78</v>
      </c>
      <c r="O30" s="19"/>
      <c r="P30" s="19" t="s">
        <v>78</v>
      </c>
      <c r="Q30" s="19" t="s">
        <v>78</v>
      </c>
      <c r="R30" s="19" t="s">
        <v>78</v>
      </c>
      <c r="S30" s="20" t="s">
        <v>78</v>
      </c>
    </row>
    <row r="31" spans="1:19" x14ac:dyDescent="0.35">
      <c r="A31" s="82" t="s">
        <v>86</v>
      </c>
      <c r="B31" s="19">
        <v>1347800</v>
      </c>
      <c r="C31" s="19">
        <v>19800</v>
      </c>
      <c r="D31" s="19" t="s">
        <v>78</v>
      </c>
      <c r="E31" s="19" t="s">
        <v>343</v>
      </c>
      <c r="F31" s="19" t="s">
        <v>280</v>
      </c>
      <c r="G31" s="19" t="s">
        <v>308</v>
      </c>
      <c r="H31" s="19" t="s">
        <v>80</v>
      </c>
      <c r="I31" s="19" t="s">
        <v>78</v>
      </c>
      <c r="J31" s="19" t="s">
        <v>78</v>
      </c>
      <c r="K31" s="19" t="s">
        <v>78</v>
      </c>
      <c r="L31" s="19" t="s">
        <v>78</v>
      </c>
      <c r="M31" s="19" t="s">
        <v>78</v>
      </c>
      <c r="N31" s="19" t="s">
        <v>78</v>
      </c>
      <c r="O31" s="19" t="s">
        <v>78</v>
      </c>
      <c r="P31" s="19" t="s">
        <v>78</v>
      </c>
      <c r="Q31" s="19" t="s">
        <v>78</v>
      </c>
      <c r="R31" s="19" t="s">
        <v>78</v>
      </c>
      <c r="S31" s="20" t="s">
        <v>78</v>
      </c>
    </row>
    <row r="32" spans="1:19" x14ac:dyDescent="0.35">
      <c r="A32" s="81" t="s">
        <v>239</v>
      </c>
      <c r="B32" s="17">
        <v>1524080</v>
      </c>
      <c r="C32" s="17">
        <v>13000</v>
      </c>
      <c r="D32" s="17" t="s">
        <v>78</v>
      </c>
      <c r="E32" s="17" t="s">
        <v>78</v>
      </c>
      <c r="F32" s="17" t="s">
        <v>79</v>
      </c>
      <c r="G32" s="17" t="s">
        <v>78</v>
      </c>
      <c r="H32" s="17" t="s">
        <v>80</v>
      </c>
      <c r="I32" s="17" t="s">
        <v>78</v>
      </c>
      <c r="J32" s="17" t="s">
        <v>78</v>
      </c>
      <c r="K32" s="17" t="s">
        <v>78</v>
      </c>
      <c r="L32" s="17" t="s">
        <v>78</v>
      </c>
      <c r="M32" s="17" t="s">
        <v>78</v>
      </c>
      <c r="N32" s="17" t="s">
        <v>78</v>
      </c>
      <c r="O32" s="17"/>
      <c r="P32" s="17" t="s">
        <v>78</v>
      </c>
      <c r="Q32" s="17" t="s">
        <v>78</v>
      </c>
      <c r="R32" s="17" t="s">
        <v>78</v>
      </c>
      <c r="S32" s="18" t="s">
        <v>78</v>
      </c>
    </row>
    <row r="33" spans="1:19" x14ac:dyDescent="0.35">
      <c r="A33" s="82" t="s">
        <v>239</v>
      </c>
      <c r="B33" s="19">
        <v>1258960</v>
      </c>
      <c r="C33" s="19">
        <v>7000</v>
      </c>
      <c r="D33" s="19" t="s">
        <v>78</v>
      </c>
      <c r="E33" s="19" t="s">
        <v>343</v>
      </c>
      <c r="F33" s="19" t="s">
        <v>11</v>
      </c>
      <c r="G33" s="19" t="s">
        <v>17</v>
      </c>
      <c r="H33" s="19" t="s">
        <v>80</v>
      </c>
      <c r="I33" s="19" t="s">
        <v>78</v>
      </c>
      <c r="J33" s="19" t="s">
        <v>78</v>
      </c>
      <c r="K33" s="19" t="s">
        <v>78</v>
      </c>
      <c r="L33" s="19" t="s">
        <v>78</v>
      </c>
      <c r="M33" s="19" t="s">
        <v>78</v>
      </c>
      <c r="N33" s="19" t="s">
        <v>78</v>
      </c>
      <c r="O33" s="19"/>
      <c r="P33" s="19" t="s">
        <v>78</v>
      </c>
      <c r="Q33" s="19" t="s">
        <v>78</v>
      </c>
      <c r="R33" s="19" t="s">
        <v>78</v>
      </c>
      <c r="S33" s="20" t="s">
        <v>78</v>
      </c>
    </row>
    <row r="34" spans="1:19" x14ac:dyDescent="0.35">
      <c r="A34" s="81" t="s">
        <v>239</v>
      </c>
      <c r="B34" s="17">
        <v>1420160</v>
      </c>
      <c r="C34" s="17">
        <v>15040</v>
      </c>
      <c r="D34" s="17" t="s">
        <v>78</v>
      </c>
      <c r="E34" s="17" t="s">
        <v>78</v>
      </c>
      <c r="F34" s="17" t="s">
        <v>79</v>
      </c>
      <c r="G34" s="17" t="s">
        <v>78</v>
      </c>
      <c r="H34" s="17" t="s">
        <v>80</v>
      </c>
      <c r="I34" s="17" t="s">
        <v>78</v>
      </c>
      <c r="J34" s="17" t="s">
        <v>78</v>
      </c>
      <c r="K34" s="17" t="s">
        <v>78</v>
      </c>
      <c r="L34" s="17" t="s">
        <v>78</v>
      </c>
      <c r="M34" s="17" t="s">
        <v>78</v>
      </c>
      <c r="N34" s="17" t="s">
        <v>78</v>
      </c>
      <c r="O34" s="17"/>
      <c r="P34" s="17" t="s">
        <v>78</v>
      </c>
      <c r="Q34" s="17" t="s">
        <v>78</v>
      </c>
      <c r="R34" s="17" t="s">
        <v>78</v>
      </c>
      <c r="S34" s="18" t="s">
        <v>78</v>
      </c>
    </row>
    <row r="35" spans="1:19" x14ac:dyDescent="0.35">
      <c r="A35" s="82" t="s">
        <v>239</v>
      </c>
      <c r="B35" s="19">
        <v>92360</v>
      </c>
      <c r="C35" s="19">
        <v>18560</v>
      </c>
      <c r="D35" s="19" t="s">
        <v>78</v>
      </c>
      <c r="E35" s="19" t="s">
        <v>343</v>
      </c>
      <c r="F35" s="19" t="s">
        <v>83</v>
      </c>
      <c r="G35" s="19" t="s">
        <v>297</v>
      </c>
      <c r="H35" s="19" t="s">
        <v>80</v>
      </c>
      <c r="I35" s="19" t="s">
        <v>78</v>
      </c>
      <c r="J35" s="19" t="s">
        <v>78</v>
      </c>
      <c r="K35" s="19" t="s">
        <v>78</v>
      </c>
      <c r="L35" s="19" t="s">
        <v>78</v>
      </c>
      <c r="M35" s="19" t="s">
        <v>78</v>
      </c>
      <c r="N35" s="19" t="s">
        <v>78</v>
      </c>
      <c r="O35" s="19"/>
      <c r="P35" s="19" t="s">
        <v>78</v>
      </c>
      <c r="Q35" s="19" t="s">
        <v>78</v>
      </c>
      <c r="R35" s="19" t="s">
        <v>78</v>
      </c>
      <c r="S35" s="20" t="s">
        <v>78</v>
      </c>
    </row>
    <row r="36" spans="1:19" x14ac:dyDescent="0.35">
      <c r="A36" s="82" t="s">
        <v>239</v>
      </c>
      <c r="B36" s="19">
        <v>1365240</v>
      </c>
      <c r="C36" s="19">
        <v>25440</v>
      </c>
      <c r="D36" s="19" t="s">
        <v>78</v>
      </c>
      <c r="E36" s="19" t="s">
        <v>343</v>
      </c>
      <c r="F36" s="19" t="s">
        <v>83</v>
      </c>
      <c r="G36" s="19" t="s">
        <v>306</v>
      </c>
      <c r="H36" s="19" t="s">
        <v>80</v>
      </c>
      <c r="I36" s="19" t="s">
        <v>78</v>
      </c>
      <c r="J36" s="19" t="s">
        <v>78</v>
      </c>
      <c r="K36" s="19" t="s">
        <v>78</v>
      </c>
      <c r="L36" s="19" t="s">
        <v>78</v>
      </c>
      <c r="M36" s="19" t="s">
        <v>78</v>
      </c>
      <c r="N36" s="19" t="s">
        <v>78</v>
      </c>
      <c r="O36" s="19" t="s">
        <v>78</v>
      </c>
      <c r="P36" s="19" t="s">
        <v>78</v>
      </c>
      <c r="Q36" s="19" t="s">
        <v>78</v>
      </c>
      <c r="R36" s="19" t="s">
        <v>78</v>
      </c>
      <c r="S36" s="20" t="s">
        <v>78</v>
      </c>
    </row>
    <row r="37" spans="1:19" x14ac:dyDescent="0.35">
      <c r="A37" s="82" t="s">
        <v>238</v>
      </c>
      <c r="B37" s="19">
        <v>420400</v>
      </c>
      <c r="C37" s="19">
        <v>16400</v>
      </c>
      <c r="D37" s="19" t="s">
        <v>78</v>
      </c>
      <c r="E37" s="19" t="s">
        <v>343</v>
      </c>
      <c r="F37" s="19" t="s">
        <v>83</v>
      </c>
      <c r="G37" s="19" t="s">
        <v>17</v>
      </c>
      <c r="H37" s="19" t="s">
        <v>80</v>
      </c>
      <c r="I37" s="19" t="s">
        <v>78</v>
      </c>
      <c r="J37" s="19" t="s">
        <v>78</v>
      </c>
      <c r="K37" s="19" t="s">
        <v>78</v>
      </c>
      <c r="L37" s="19" t="s">
        <v>78</v>
      </c>
      <c r="M37" s="19" t="s">
        <v>78</v>
      </c>
      <c r="N37" s="19" t="s">
        <v>78</v>
      </c>
      <c r="O37" s="19"/>
      <c r="P37" s="19" t="s">
        <v>78</v>
      </c>
      <c r="Q37" s="19" t="s">
        <v>78</v>
      </c>
      <c r="R37" s="19" t="s">
        <v>78</v>
      </c>
      <c r="S37" s="20" t="s">
        <v>78</v>
      </c>
    </row>
    <row r="38" spans="1:19" x14ac:dyDescent="0.35">
      <c r="A38" s="81" t="s">
        <v>238</v>
      </c>
      <c r="B38" s="17">
        <v>1462880</v>
      </c>
      <c r="C38" s="17">
        <v>7000</v>
      </c>
      <c r="D38" s="17" t="s">
        <v>78</v>
      </c>
      <c r="E38" s="17" t="s">
        <v>413</v>
      </c>
      <c r="F38" s="17" t="s">
        <v>83</v>
      </c>
      <c r="G38" s="17" t="s">
        <v>308</v>
      </c>
      <c r="H38" s="17" t="s">
        <v>80</v>
      </c>
      <c r="I38" s="17" t="s">
        <v>78</v>
      </c>
      <c r="J38" s="17" t="s">
        <v>78</v>
      </c>
      <c r="K38" s="17" t="s">
        <v>78</v>
      </c>
      <c r="L38" s="17" t="s">
        <v>78</v>
      </c>
      <c r="M38" s="17" t="s">
        <v>78</v>
      </c>
      <c r="N38" s="17" t="s">
        <v>78</v>
      </c>
      <c r="O38" s="17"/>
      <c r="P38" s="17" t="s">
        <v>78</v>
      </c>
      <c r="Q38" s="17" t="s">
        <v>78</v>
      </c>
      <c r="R38" s="17" t="s">
        <v>78</v>
      </c>
      <c r="S38" s="18" t="s">
        <v>78</v>
      </c>
    </row>
    <row r="39" spans="1:19" x14ac:dyDescent="0.35">
      <c r="A39" s="81" t="s">
        <v>238</v>
      </c>
      <c r="B39" s="17">
        <v>1295600</v>
      </c>
      <c r="C39" s="17">
        <v>13640</v>
      </c>
      <c r="D39" s="17" t="s">
        <v>78</v>
      </c>
      <c r="E39" s="17" t="s">
        <v>343</v>
      </c>
      <c r="F39" s="17" t="s">
        <v>11</v>
      </c>
      <c r="G39" s="17" t="s">
        <v>302</v>
      </c>
      <c r="H39" s="17" t="s">
        <v>80</v>
      </c>
      <c r="I39" s="17" t="s">
        <v>78</v>
      </c>
      <c r="J39" s="17" t="s">
        <v>78</v>
      </c>
      <c r="K39" s="17" t="s">
        <v>78</v>
      </c>
      <c r="L39" s="17" t="s">
        <v>78</v>
      </c>
      <c r="M39" s="17" t="s">
        <v>78</v>
      </c>
      <c r="N39" s="17" t="s">
        <v>78</v>
      </c>
      <c r="O39" s="17"/>
      <c r="P39" s="17" t="s">
        <v>78</v>
      </c>
      <c r="Q39" s="17" t="s">
        <v>78</v>
      </c>
      <c r="R39" s="17" t="s">
        <v>78</v>
      </c>
      <c r="S39" s="18" t="s">
        <v>78</v>
      </c>
    </row>
    <row r="40" spans="1:19" x14ac:dyDescent="0.35">
      <c r="A40" s="82" t="s">
        <v>238</v>
      </c>
      <c r="B40" s="19">
        <v>177760</v>
      </c>
      <c r="C40" s="19">
        <v>13280</v>
      </c>
      <c r="D40" s="19" t="s">
        <v>78</v>
      </c>
      <c r="E40" s="19" t="s">
        <v>78</v>
      </c>
      <c r="F40" s="19" t="s">
        <v>13</v>
      </c>
      <c r="G40" s="19" t="s">
        <v>78</v>
      </c>
      <c r="H40" s="19" t="s">
        <v>80</v>
      </c>
      <c r="I40" s="19" t="s">
        <v>78</v>
      </c>
      <c r="J40" s="19" t="s">
        <v>78</v>
      </c>
      <c r="K40" s="19" t="s">
        <v>78</v>
      </c>
      <c r="L40" s="19" t="s">
        <v>78</v>
      </c>
      <c r="M40" s="19" t="s">
        <v>78</v>
      </c>
      <c r="N40" s="19" t="s">
        <v>78</v>
      </c>
      <c r="O40" s="19"/>
      <c r="P40" s="19" t="s">
        <v>78</v>
      </c>
      <c r="Q40" s="19" t="s">
        <v>78</v>
      </c>
      <c r="R40" s="19" t="s">
        <v>78</v>
      </c>
      <c r="S40" s="20" t="s">
        <v>78</v>
      </c>
    </row>
    <row r="41" spans="1:19" x14ac:dyDescent="0.35">
      <c r="A41" s="82" t="s">
        <v>238</v>
      </c>
      <c r="B41" s="19">
        <v>1481320</v>
      </c>
      <c r="C41" s="19">
        <v>21040</v>
      </c>
      <c r="D41" s="19" t="s">
        <v>78</v>
      </c>
      <c r="E41" s="19" t="s">
        <v>343</v>
      </c>
      <c r="F41" s="19" t="s">
        <v>83</v>
      </c>
      <c r="G41" s="19" t="s">
        <v>305</v>
      </c>
      <c r="H41" s="19" t="s">
        <v>80</v>
      </c>
      <c r="I41" s="19" t="s">
        <v>78</v>
      </c>
      <c r="J41" s="19" t="s">
        <v>78</v>
      </c>
      <c r="K41" s="19" t="s">
        <v>78</v>
      </c>
      <c r="L41" s="19" t="s">
        <v>78</v>
      </c>
      <c r="M41" s="19" t="s">
        <v>78</v>
      </c>
      <c r="N41" s="19" t="s">
        <v>78</v>
      </c>
      <c r="O41" s="19" t="s">
        <v>78</v>
      </c>
      <c r="P41" s="19" t="s">
        <v>78</v>
      </c>
      <c r="Q41" s="19" t="s">
        <v>78</v>
      </c>
      <c r="R41" s="19" t="s">
        <v>78</v>
      </c>
      <c r="S41" s="20" t="s">
        <v>78</v>
      </c>
    </row>
    <row r="42" spans="1:19" x14ac:dyDescent="0.35">
      <c r="A42" s="81" t="s">
        <v>237</v>
      </c>
      <c r="B42" s="17">
        <v>575080</v>
      </c>
      <c r="C42" s="17">
        <v>19760</v>
      </c>
      <c r="D42" s="17" t="s">
        <v>78</v>
      </c>
      <c r="E42" s="17" t="s">
        <v>78</v>
      </c>
      <c r="F42" s="17" t="s">
        <v>79</v>
      </c>
      <c r="G42" s="17" t="s">
        <v>78</v>
      </c>
      <c r="H42" s="17" t="s">
        <v>80</v>
      </c>
      <c r="I42" s="17" t="s">
        <v>78</v>
      </c>
      <c r="J42" s="17" t="s">
        <v>78</v>
      </c>
      <c r="K42" s="17" t="s">
        <v>78</v>
      </c>
      <c r="L42" s="17" t="s">
        <v>78</v>
      </c>
      <c r="M42" s="17" t="s">
        <v>78</v>
      </c>
      <c r="N42" s="17" t="s">
        <v>78</v>
      </c>
      <c r="O42" s="17"/>
      <c r="P42" s="17" t="s">
        <v>78</v>
      </c>
      <c r="Q42" s="17" t="s">
        <v>78</v>
      </c>
      <c r="R42" s="17" t="s">
        <v>78</v>
      </c>
      <c r="S42" s="18" t="s">
        <v>78</v>
      </c>
    </row>
    <row r="43" spans="1:19" x14ac:dyDescent="0.35">
      <c r="A43" s="81" t="s">
        <v>237</v>
      </c>
      <c r="B43" s="17">
        <v>1527640</v>
      </c>
      <c r="C43" s="17">
        <v>13720</v>
      </c>
      <c r="D43" s="17" t="s">
        <v>78</v>
      </c>
      <c r="E43" s="17" t="s">
        <v>78</v>
      </c>
      <c r="F43" s="17" t="s">
        <v>13</v>
      </c>
      <c r="G43" s="17" t="s">
        <v>78</v>
      </c>
      <c r="H43" s="17" t="s">
        <v>80</v>
      </c>
      <c r="I43" s="17" t="s">
        <v>78</v>
      </c>
      <c r="J43" s="17" t="s">
        <v>78</v>
      </c>
      <c r="K43" s="17" t="s">
        <v>78</v>
      </c>
      <c r="L43" s="17" t="s">
        <v>78</v>
      </c>
      <c r="M43" s="17" t="s">
        <v>78</v>
      </c>
      <c r="N43" s="17" t="s">
        <v>78</v>
      </c>
      <c r="O43" s="17"/>
      <c r="P43" s="17" t="s">
        <v>78</v>
      </c>
      <c r="Q43" s="17" t="s">
        <v>78</v>
      </c>
      <c r="R43" s="17" t="s">
        <v>78</v>
      </c>
      <c r="S43" s="18" t="s">
        <v>78</v>
      </c>
    </row>
    <row r="44" spans="1:19" x14ac:dyDescent="0.35">
      <c r="A44" s="82" t="s">
        <v>237</v>
      </c>
      <c r="B44" s="19">
        <v>1514080</v>
      </c>
      <c r="C44" s="19">
        <v>12280</v>
      </c>
      <c r="D44" s="19" t="s">
        <v>78</v>
      </c>
      <c r="E44" s="19" t="s">
        <v>78</v>
      </c>
      <c r="F44" s="19" t="s">
        <v>13</v>
      </c>
      <c r="G44" s="19" t="s">
        <v>78</v>
      </c>
      <c r="H44" s="19" t="s">
        <v>80</v>
      </c>
      <c r="I44" s="19" t="s">
        <v>78</v>
      </c>
      <c r="J44" s="19" t="s">
        <v>78</v>
      </c>
      <c r="K44" s="19" t="s">
        <v>78</v>
      </c>
      <c r="L44" s="19" t="s">
        <v>78</v>
      </c>
      <c r="M44" s="19" t="s">
        <v>78</v>
      </c>
      <c r="N44" s="19" t="s">
        <v>78</v>
      </c>
      <c r="O44" s="19"/>
      <c r="P44" s="19" t="s">
        <v>78</v>
      </c>
      <c r="Q44" s="19" t="s">
        <v>78</v>
      </c>
      <c r="R44" s="19" t="s">
        <v>78</v>
      </c>
      <c r="S44" s="20" t="s">
        <v>78</v>
      </c>
    </row>
    <row r="45" spans="1:19" x14ac:dyDescent="0.35">
      <c r="A45" s="82" t="s">
        <v>237</v>
      </c>
      <c r="B45" s="19">
        <v>193360</v>
      </c>
      <c r="C45" s="19">
        <v>13600</v>
      </c>
      <c r="D45" s="19" t="s">
        <v>78</v>
      </c>
      <c r="E45" s="19" t="s">
        <v>343</v>
      </c>
      <c r="F45" s="19" t="s">
        <v>11</v>
      </c>
      <c r="G45" s="19" t="s">
        <v>304</v>
      </c>
      <c r="H45" s="19" t="s">
        <v>80</v>
      </c>
      <c r="I45" s="19" t="s">
        <v>78</v>
      </c>
      <c r="J45" s="19" t="s">
        <v>78</v>
      </c>
      <c r="K45" s="19" t="s">
        <v>78</v>
      </c>
      <c r="L45" s="19" t="s">
        <v>78</v>
      </c>
      <c r="M45" s="19" t="s">
        <v>78</v>
      </c>
      <c r="N45" s="19" t="s">
        <v>78</v>
      </c>
      <c r="O45" s="19"/>
      <c r="P45" s="19" t="s">
        <v>78</v>
      </c>
      <c r="Q45" s="19" t="s">
        <v>78</v>
      </c>
      <c r="R45" s="19" t="s">
        <v>78</v>
      </c>
      <c r="S45" s="20" t="s">
        <v>78</v>
      </c>
    </row>
    <row r="46" spans="1:19" x14ac:dyDescent="0.35">
      <c r="A46" s="82" t="s">
        <v>237</v>
      </c>
      <c r="B46" s="19">
        <v>1575240</v>
      </c>
      <c r="C46" s="19">
        <v>17720</v>
      </c>
      <c r="D46" s="19" t="s">
        <v>78</v>
      </c>
      <c r="E46" s="19" t="s">
        <v>343</v>
      </c>
      <c r="F46" s="19" t="s">
        <v>11</v>
      </c>
      <c r="G46" s="19" t="s">
        <v>298</v>
      </c>
      <c r="H46" s="19" t="s">
        <v>80</v>
      </c>
      <c r="I46" s="19" t="s">
        <v>78</v>
      </c>
      <c r="J46" s="19" t="s">
        <v>78</v>
      </c>
      <c r="K46" s="19" t="s">
        <v>78</v>
      </c>
      <c r="L46" s="19" t="s">
        <v>78</v>
      </c>
      <c r="M46" s="19" t="s">
        <v>78</v>
      </c>
      <c r="N46" s="19" t="s">
        <v>78</v>
      </c>
      <c r="O46" s="19" t="s">
        <v>78</v>
      </c>
      <c r="P46" s="19" t="s">
        <v>78</v>
      </c>
      <c r="Q46" s="19" t="s">
        <v>78</v>
      </c>
      <c r="R46" s="19" t="s">
        <v>78</v>
      </c>
      <c r="S46" s="20" t="s">
        <v>78</v>
      </c>
    </row>
    <row r="47" spans="1:19" x14ac:dyDescent="0.35">
      <c r="A47" s="82" t="s">
        <v>236</v>
      </c>
      <c r="B47" s="19">
        <v>622560</v>
      </c>
      <c r="C47" s="19">
        <v>7000</v>
      </c>
      <c r="D47" s="19" t="s">
        <v>78</v>
      </c>
      <c r="E47" s="19" t="s">
        <v>78</v>
      </c>
      <c r="F47" s="19" t="s">
        <v>79</v>
      </c>
      <c r="G47" s="19" t="s">
        <v>78</v>
      </c>
      <c r="H47" s="19" t="s">
        <v>80</v>
      </c>
      <c r="I47" s="19" t="s">
        <v>78</v>
      </c>
      <c r="J47" s="19" t="s">
        <v>78</v>
      </c>
      <c r="K47" s="19" t="s">
        <v>78</v>
      </c>
      <c r="L47" s="19" t="s">
        <v>78</v>
      </c>
      <c r="M47" s="19" t="s">
        <v>78</v>
      </c>
      <c r="N47" s="19" t="s">
        <v>78</v>
      </c>
      <c r="O47" s="19"/>
      <c r="P47" s="19" t="s">
        <v>78</v>
      </c>
      <c r="Q47" s="19" t="s">
        <v>78</v>
      </c>
      <c r="R47" s="19" t="s">
        <v>78</v>
      </c>
      <c r="S47" s="20" t="s">
        <v>78</v>
      </c>
    </row>
    <row r="48" spans="1:19" x14ac:dyDescent="0.35">
      <c r="A48" s="82" t="s">
        <v>236</v>
      </c>
      <c r="B48" s="19">
        <v>1526640</v>
      </c>
      <c r="C48" s="19">
        <v>13080</v>
      </c>
      <c r="D48" s="19" t="s">
        <v>78</v>
      </c>
      <c r="E48" s="19" t="s">
        <v>343</v>
      </c>
      <c r="F48" s="19" t="s">
        <v>83</v>
      </c>
      <c r="G48" s="19" t="s">
        <v>308</v>
      </c>
      <c r="H48" s="19" t="s">
        <v>80</v>
      </c>
      <c r="I48" s="19" t="s">
        <v>78</v>
      </c>
      <c r="J48" s="19" t="s">
        <v>78</v>
      </c>
      <c r="K48" s="19" t="s">
        <v>78</v>
      </c>
      <c r="L48" s="19" t="s">
        <v>78</v>
      </c>
      <c r="M48" s="19" t="s">
        <v>78</v>
      </c>
      <c r="N48" s="19" t="s">
        <v>78</v>
      </c>
      <c r="O48" s="19"/>
      <c r="P48" s="19" t="s">
        <v>78</v>
      </c>
      <c r="Q48" s="19" t="s">
        <v>78</v>
      </c>
      <c r="R48" s="19" t="s">
        <v>78</v>
      </c>
      <c r="S48" s="20" t="s">
        <v>78</v>
      </c>
    </row>
    <row r="49" spans="1:19" x14ac:dyDescent="0.35">
      <c r="A49" s="81" t="s">
        <v>236</v>
      </c>
      <c r="B49" s="17">
        <v>1545720</v>
      </c>
      <c r="C49" s="17">
        <v>11560</v>
      </c>
      <c r="D49" s="17" t="s">
        <v>78</v>
      </c>
      <c r="E49" s="17" t="s">
        <v>413</v>
      </c>
      <c r="F49" s="17" t="s">
        <v>10</v>
      </c>
      <c r="G49" s="17" t="s">
        <v>303</v>
      </c>
      <c r="H49" s="17" t="s">
        <v>80</v>
      </c>
      <c r="I49" s="17" t="s">
        <v>78</v>
      </c>
      <c r="J49" s="17" t="s">
        <v>78</v>
      </c>
      <c r="K49" s="17" t="s">
        <v>78</v>
      </c>
      <c r="L49" s="17" t="s">
        <v>78</v>
      </c>
      <c r="M49" s="17" t="s">
        <v>78</v>
      </c>
      <c r="N49" s="17" t="s">
        <v>78</v>
      </c>
      <c r="O49" s="17"/>
      <c r="P49" s="17" t="s">
        <v>78</v>
      </c>
      <c r="Q49" s="17" t="s">
        <v>78</v>
      </c>
      <c r="R49" s="17" t="s">
        <v>78</v>
      </c>
      <c r="S49" s="18" t="s">
        <v>78</v>
      </c>
    </row>
    <row r="50" spans="1:19" x14ac:dyDescent="0.35">
      <c r="A50" s="82" t="s">
        <v>236</v>
      </c>
      <c r="B50" s="19">
        <v>455760</v>
      </c>
      <c r="C50" s="19">
        <v>13520</v>
      </c>
      <c r="D50" s="19" t="s">
        <v>78</v>
      </c>
      <c r="E50" s="19" t="s">
        <v>78</v>
      </c>
      <c r="F50" s="19" t="s">
        <v>13</v>
      </c>
      <c r="G50" s="19" t="s">
        <v>78</v>
      </c>
      <c r="H50" s="19" t="s">
        <v>80</v>
      </c>
      <c r="I50" s="19" t="s">
        <v>78</v>
      </c>
      <c r="J50" s="19" t="s">
        <v>78</v>
      </c>
      <c r="K50" s="19" t="s">
        <v>78</v>
      </c>
      <c r="L50" s="19" t="s">
        <v>78</v>
      </c>
      <c r="M50" s="19" t="s">
        <v>78</v>
      </c>
      <c r="N50" s="19" t="s">
        <v>78</v>
      </c>
      <c r="O50" s="19"/>
      <c r="P50" s="19" t="s">
        <v>78</v>
      </c>
      <c r="Q50" s="19" t="s">
        <v>78</v>
      </c>
      <c r="R50" s="19" t="s">
        <v>78</v>
      </c>
      <c r="S50" s="20" t="s">
        <v>78</v>
      </c>
    </row>
    <row r="51" spans="1:19" x14ac:dyDescent="0.35">
      <c r="A51" s="82" t="s">
        <v>236</v>
      </c>
      <c r="B51" s="19">
        <v>1654560</v>
      </c>
      <c r="C51" s="19">
        <v>10960</v>
      </c>
      <c r="D51" s="19" t="s">
        <v>78</v>
      </c>
      <c r="E51" s="19" t="s">
        <v>343</v>
      </c>
      <c r="F51" s="19" t="s">
        <v>11</v>
      </c>
      <c r="G51" s="19" t="s">
        <v>305</v>
      </c>
      <c r="H51" s="19" t="s">
        <v>80</v>
      </c>
      <c r="I51" s="19" t="s">
        <v>78</v>
      </c>
      <c r="J51" s="19" t="s">
        <v>78</v>
      </c>
      <c r="K51" s="19" t="s">
        <v>78</v>
      </c>
      <c r="L51" s="19" t="s">
        <v>78</v>
      </c>
      <c r="M51" s="19" t="s">
        <v>78</v>
      </c>
      <c r="N51" s="19" t="s">
        <v>78</v>
      </c>
      <c r="O51" s="19" t="s">
        <v>78</v>
      </c>
      <c r="P51" s="19" t="s">
        <v>78</v>
      </c>
      <c r="Q51" s="19" t="s">
        <v>78</v>
      </c>
      <c r="R51" s="19" t="s">
        <v>78</v>
      </c>
      <c r="S51" s="20" t="s">
        <v>78</v>
      </c>
    </row>
    <row r="52" spans="1:19" x14ac:dyDescent="0.35">
      <c r="A52" s="81" t="s">
        <v>235</v>
      </c>
      <c r="B52" s="17">
        <v>53320</v>
      </c>
      <c r="C52" s="17">
        <v>25960</v>
      </c>
      <c r="D52" s="17" t="s">
        <v>78</v>
      </c>
      <c r="E52" s="17" t="s">
        <v>413</v>
      </c>
      <c r="F52" s="17" t="s">
        <v>83</v>
      </c>
      <c r="G52" s="17" t="s">
        <v>308</v>
      </c>
      <c r="H52" s="17" t="s">
        <v>80</v>
      </c>
      <c r="I52" s="17" t="s">
        <v>78</v>
      </c>
      <c r="J52" s="17" t="s">
        <v>78</v>
      </c>
      <c r="K52" s="17" t="s">
        <v>78</v>
      </c>
      <c r="L52" s="17" t="s">
        <v>78</v>
      </c>
      <c r="M52" s="17" t="s">
        <v>78</v>
      </c>
      <c r="N52" s="17" t="s">
        <v>78</v>
      </c>
      <c r="O52" s="17"/>
      <c r="P52" s="17" t="s">
        <v>78</v>
      </c>
      <c r="Q52" s="17" t="s">
        <v>78</v>
      </c>
      <c r="R52" s="17" t="s">
        <v>78</v>
      </c>
      <c r="S52" s="18" t="s">
        <v>78</v>
      </c>
    </row>
    <row r="53" spans="1:19" x14ac:dyDescent="0.35">
      <c r="A53" s="82" t="s">
        <v>235</v>
      </c>
      <c r="B53" s="19">
        <v>1636040</v>
      </c>
      <c r="C53" s="19">
        <v>12040</v>
      </c>
      <c r="D53" s="19" t="s">
        <v>78</v>
      </c>
      <c r="E53" s="19" t="s">
        <v>413</v>
      </c>
      <c r="F53" s="19" t="s">
        <v>11</v>
      </c>
      <c r="G53" s="19" t="s">
        <v>309</v>
      </c>
      <c r="H53" s="19" t="s">
        <v>80</v>
      </c>
      <c r="I53" s="19" t="s">
        <v>78</v>
      </c>
      <c r="J53" s="19" t="s">
        <v>78</v>
      </c>
      <c r="K53" s="19" t="s">
        <v>78</v>
      </c>
      <c r="L53" s="19" t="s">
        <v>78</v>
      </c>
      <c r="M53" s="19" t="s">
        <v>78</v>
      </c>
      <c r="N53" s="19" t="s">
        <v>78</v>
      </c>
      <c r="O53" s="19"/>
      <c r="P53" s="19" t="s">
        <v>78</v>
      </c>
      <c r="Q53" s="19" t="s">
        <v>78</v>
      </c>
      <c r="R53" s="19" t="s">
        <v>78</v>
      </c>
      <c r="S53" s="20" t="s">
        <v>78</v>
      </c>
    </row>
    <row r="54" spans="1:19" x14ac:dyDescent="0.35">
      <c r="A54" s="82" t="s">
        <v>235</v>
      </c>
      <c r="B54" s="19">
        <v>1688040</v>
      </c>
      <c r="C54" s="19">
        <v>14640</v>
      </c>
      <c r="D54" s="19" t="s">
        <v>78</v>
      </c>
      <c r="E54" s="19" t="s">
        <v>78</v>
      </c>
      <c r="F54" s="19" t="s">
        <v>13</v>
      </c>
      <c r="G54" s="19" t="s">
        <v>78</v>
      </c>
      <c r="H54" s="19" t="s">
        <v>80</v>
      </c>
      <c r="I54" s="19" t="s">
        <v>78</v>
      </c>
      <c r="J54" s="19" t="s">
        <v>78</v>
      </c>
      <c r="K54" s="19" t="s">
        <v>78</v>
      </c>
      <c r="L54" s="19" t="s">
        <v>78</v>
      </c>
      <c r="M54" s="19" t="s">
        <v>78</v>
      </c>
      <c r="N54" s="19" t="s">
        <v>78</v>
      </c>
      <c r="O54" s="19"/>
      <c r="P54" s="19" t="s">
        <v>78</v>
      </c>
      <c r="Q54" s="19" t="s">
        <v>78</v>
      </c>
      <c r="R54" s="19" t="s">
        <v>78</v>
      </c>
      <c r="S54" s="20" t="s">
        <v>78</v>
      </c>
    </row>
    <row r="55" spans="1:19" x14ac:dyDescent="0.35">
      <c r="A55" s="82" t="s">
        <v>235</v>
      </c>
      <c r="B55" s="19">
        <v>469240</v>
      </c>
      <c r="C55" s="19">
        <v>7000</v>
      </c>
      <c r="D55" s="19" t="s">
        <v>78</v>
      </c>
      <c r="E55" s="19" t="s">
        <v>343</v>
      </c>
      <c r="F55" s="19" t="s">
        <v>11</v>
      </c>
      <c r="G55" s="19" t="s">
        <v>307</v>
      </c>
      <c r="H55" s="19" t="s">
        <v>80</v>
      </c>
      <c r="I55" s="19" t="s">
        <v>78</v>
      </c>
      <c r="J55" s="19" t="s">
        <v>78</v>
      </c>
      <c r="K55" s="19" t="s">
        <v>78</v>
      </c>
      <c r="L55" s="19" t="s">
        <v>78</v>
      </c>
      <c r="M55" s="19" t="s">
        <v>78</v>
      </c>
      <c r="N55" s="19" t="s">
        <v>78</v>
      </c>
      <c r="O55" s="19"/>
      <c r="P55" s="19" t="s">
        <v>78</v>
      </c>
      <c r="Q55" s="19" t="s">
        <v>78</v>
      </c>
      <c r="R55" s="19" t="s">
        <v>78</v>
      </c>
      <c r="S55" s="20" t="s">
        <v>78</v>
      </c>
    </row>
    <row r="56" spans="1:19" x14ac:dyDescent="0.35">
      <c r="A56" s="82" t="s">
        <v>235</v>
      </c>
      <c r="B56" s="19">
        <v>1757520</v>
      </c>
      <c r="C56" s="19">
        <v>24720</v>
      </c>
      <c r="D56" s="19" t="s">
        <v>78</v>
      </c>
      <c r="E56" s="19" t="s">
        <v>343</v>
      </c>
      <c r="F56" s="19" t="s">
        <v>280</v>
      </c>
      <c r="G56" s="19" t="s">
        <v>308</v>
      </c>
      <c r="H56" s="19" t="s">
        <v>80</v>
      </c>
      <c r="I56" s="19" t="s">
        <v>78</v>
      </c>
      <c r="J56" s="19" t="s">
        <v>78</v>
      </c>
      <c r="K56" s="19" t="s">
        <v>78</v>
      </c>
      <c r="L56" s="19" t="s">
        <v>78</v>
      </c>
      <c r="M56" s="19" t="s">
        <v>78</v>
      </c>
      <c r="N56" s="19" t="s">
        <v>78</v>
      </c>
      <c r="O56" s="19" t="s">
        <v>78</v>
      </c>
      <c r="P56" s="19" t="s">
        <v>78</v>
      </c>
      <c r="Q56" s="19" t="s">
        <v>78</v>
      </c>
      <c r="R56" s="19" t="s">
        <v>78</v>
      </c>
      <c r="S56" s="20" t="s">
        <v>78</v>
      </c>
    </row>
    <row r="57" spans="1:19" x14ac:dyDescent="0.35">
      <c r="A57" s="82" t="s">
        <v>87</v>
      </c>
      <c r="B57" s="19">
        <v>397160</v>
      </c>
      <c r="C57" s="19">
        <v>20720</v>
      </c>
      <c r="D57" s="19" t="s">
        <v>78</v>
      </c>
      <c r="E57" s="19" t="s">
        <v>78</v>
      </c>
      <c r="F57" s="19" t="s">
        <v>79</v>
      </c>
      <c r="G57" s="19" t="s">
        <v>78</v>
      </c>
      <c r="H57" s="19" t="s">
        <v>80</v>
      </c>
      <c r="I57" s="19" t="s">
        <v>78</v>
      </c>
      <c r="J57" s="19" t="s">
        <v>78</v>
      </c>
      <c r="K57" s="19" t="s">
        <v>78</v>
      </c>
      <c r="L57" s="19" t="s">
        <v>78</v>
      </c>
      <c r="M57" s="19" t="s">
        <v>78</v>
      </c>
      <c r="N57" s="19" t="s">
        <v>78</v>
      </c>
      <c r="O57" s="19"/>
      <c r="P57" s="19" t="s">
        <v>78</v>
      </c>
      <c r="Q57" s="19" t="s">
        <v>78</v>
      </c>
      <c r="R57" s="19" t="s">
        <v>78</v>
      </c>
      <c r="S57" s="20" t="s">
        <v>78</v>
      </c>
    </row>
    <row r="58" spans="1:19" x14ac:dyDescent="0.35">
      <c r="A58" s="82" t="s">
        <v>87</v>
      </c>
      <c r="B58" s="19">
        <v>632520</v>
      </c>
      <c r="C58" s="19">
        <v>13280</v>
      </c>
      <c r="D58" s="19" t="s">
        <v>78</v>
      </c>
      <c r="E58" s="19" t="s">
        <v>413</v>
      </c>
      <c r="F58" s="19" t="s">
        <v>11</v>
      </c>
      <c r="G58" s="19" t="s">
        <v>308</v>
      </c>
      <c r="H58" s="19" t="s">
        <v>80</v>
      </c>
      <c r="I58" s="19" t="s">
        <v>78</v>
      </c>
      <c r="J58" s="19" t="s">
        <v>78</v>
      </c>
      <c r="K58" s="19" t="s">
        <v>78</v>
      </c>
      <c r="L58" s="19" t="s">
        <v>78</v>
      </c>
      <c r="M58" s="19" t="s">
        <v>78</v>
      </c>
      <c r="N58" s="19" t="s">
        <v>78</v>
      </c>
      <c r="O58" s="19"/>
      <c r="P58" s="19" t="s">
        <v>78</v>
      </c>
      <c r="Q58" s="19" t="s">
        <v>78</v>
      </c>
      <c r="R58" s="19" t="s">
        <v>78</v>
      </c>
      <c r="S58" s="20" t="s">
        <v>78</v>
      </c>
    </row>
    <row r="59" spans="1:19" x14ac:dyDescent="0.35">
      <c r="A59" s="82" t="s">
        <v>87</v>
      </c>
      <c r="B59" s="19">
        <v>87160</v>
      </c>
      <c r="C59" s="19">
        <v>14240</v>
      </c>
      <c r="D59" s="19" t="s">
        <v>78</v>
      </c>
      <c r="E59" s="19" t="s">
        <v>78</v>
      </c>
      <c r="F59" s="19" t="s">
        <v>79</v>
      </c>
      <c r="G59" s="19" t="s">
        <v>78</v>
      </c>
      <c r="H59" s="19" t="s">
        <v>80</v>
      </c>
      <c r="I59" s="19" t="s">
        <v>78</v>
      </c>
      <c r="J59" s="19" t="s">
        <v>78</v>
      </c>
      <c r="K59" s="19" t="s">
        <v>78</v>
      </c>
      <c r="L59" s="19" t="s">
        <v>78</v>
      </c>
      <c r="M59" s="19" t="s">
        <v>78</v>
      </c>
      <c r="N59" s="19" t="s">
        <v>78</v>
      </c>
      <c r="O59" s="19"/>
      <c r="P59" s="19" t="s">
        <v>78</v>
      </c>
      <c r="Q59" s="19" t="s">
        <v>78</v>
      </c>
      <c r="R59" s="19" t="s">
        <v>78</v>
      </c>
      <c r="S59" s="20" t="s">
        <v>78</v>
      </c>
    </row>
    <row r="60" spans="1:19" x14ac:dyDescent="0.35">
      <c r="A60" s="82" t="s">
        <v>87</v>
      </c>
      <c r="B60" s="19">
        <v>184240</v>
      </c>
      <c r="C60" s="19">
        <v>7000</v>
      </c>
      <c r="D60" s="19" t="s">
        <v>78</v>
      </c>
      <c r="E60" s="19" t="s">
        <v>413</v>
      </c>
      <c r="F60" s="19" t="s">
        <v>83</v>
      </c>
      <c r="G60" s="19" t="s">
        <v>308</v>
      </c>
      <c r="H60" s="19" t="s">
        <v>80</v>
      </c>
      <c r="I60" s="19" t="s">
        <v>78</v>
      </c>
      <c r="J60" s="19" t="s">
        <v>78</v>
      </c>
      <c r="K60" s="19" t="s">
        <v>78</v>
      </c>
      <c r="L60" s="19" t="s">
        <v>78</v>
      </c>
      <c r="M60" s="19" t="s">
        <v>78</v>
      </c>
      <c r="N60" s="19" t="s">
        <v>78</v>
      </c>
      <c r="O60" s="19"/>
      <c r="P60" s="19" t="s">
        <v>78</v>
      </c>
      <c r="Q60" s="19" t="s">
        <v>78</v>
      </c>
      <c r="R60" s="19" t="s">
        <v>78</v>
      </c>
      <c r="S60" s="20" t="s">
        <v>78</v>
      </c>
    </row>
    <row r="61" spans="1:19" x14ac:dyDescent="0.35">
      <c r="A61" s="82" t="s">
        <v>87</v>
      </c>
      <c r="B61" s="19">
        <v>315080</v>
      </c>
      <c r="C61" s="19">
        <v>16800</v>
      </c>
      <c r="D61" s="19" t="s">
        <v>78</v>
      </c>
      <c r="E61" s="19" t="s">
        <v>343</v>
      </c>
      <c r="F61" s="19" t="s">
        <v>11</v>
      </c>
      <c r="G61" s="19" t="s">
        <v>297</v>
      </c>
      <c r="H61" s="19" t="s">
        <v>80</v>
      </c>
      <c r="I61" s="19" t="s">
        <v>78</v>
      </c>
      <c r="J61" s="19" t="s">
        <v>78</v>
      </c>
      <c r="K61" s="19" t="s">
        <v>78</v>
      </c>
      <c r="L61" s="19" t="s">
        <v>78</v>
      </c>
      <c r="M61" s="19" t="s">
        <v>78</v>
      </c>
      <c r="N61" s="19" t="s">
        <v>78</v>
      </c>
      <c r="O61" s="19" t="s">
        <v>78</v>
      </c>
      <c r="P61" s="19" t="s">
        <v>78</v>
      </c>
      <c r="Q61" s="19" t="s">
        <v>78</v>
      </c>
      <c r="R61" s="19" t="s">
        <v>78</v>
      </c>
      <c r="S61" s="20" t="s">
        <v>78</v>
      </c>
    </row>
    <row r="62" spans="1:19" x14ac:dyDescent="0.35">
      <c r="A62" s="82" t="s">
        <v>234</v>
      </c>
      <c r="B62" s="19">
        <v>275880</v>
      </c>
      <c r="C62" s="19">
        <v>27640</v>
      </c>
      <c r="D62" s="19" t="s">
        <v>78</v>
      </c>
      <c r="E62" s="19" t="s">
        <v>413</v>
      </c>
      <c r="F62" s="19" t="s">
        <v>11</v>
      </c>
      <c r="G62" s="19" t="s">
        <v>15</v>
      </c>
      <c r="H62" s="19" t="s">
        <v>80</v>
      </c>
      <c r="I62" s="19" t="s">
        <v>78</v>
      </c>
      <c r="J62" s="19" t="s">
        <v>78</v>
      </c>
      <c r="K62" s="19" t="s">
        <v>78</v>
      </c>
      <c r="L62" s="19" t="s">
        <v>78</v>
      </c>
      <c r="M62" s="19" t="s">
        <v>78</v>
      </c>
      <c r="N62" s="19" t="s">
        <v>78</v>
      </c>
      <c r="O62" s="19"/>
      <c r="P62" s="19" t="s">
        <v>78</v>
      </c>
      <c r="Q62" s="19" t="s">
        <v>78</v>
      </c>
      <c r="R62" s="19" t="s">
        <v>78</v>
      </c>
      <c r="S62" s="20" t="s">
        <v>78</v>
      </c>
    </row>
    <row r="63" spans="1:19" x14ac:dyDescent="0.35">
      <c r="A63" s="81" t="s">
        <v>234</v>
      </c>
      <c r="B63" s="17">
        <v>1703800</v>
      </c>
      <c r="C63" s="17">
        <v>7000</v>
      </c>
      <c r="D63" s="17" t="s">
        <v>78</v>
      </c>
      <c r="E63" s="17" t="s">
        <v>343</v>
      </c>
      <c r="F63" s="17" t="s">
        <v>10</v>
      </c>
      <c r="G63" s="17" t="s">
        <v>308</v>
      </c>
      <c r="H63" s="17" t="s">
        <v>80</v>
      </c>
      <c r="I63" s="17" t="s">
        <v>78</v>
      </c>
      <c r="J63" s="17" t="s">
        <v>78</v>
      </c>
      <c r="K63" s="17" t="s">
        <v>78</v>
      </c>
      <c r="L63" s="17" t="s">
        <v>78</v>
      </c>
      <c r="M63" s="17" t="s">
        <v>78</v>
      </c>
      <c r="N63" s="17" t="s">
        <v>78</v>
      </c>
      <c r="O63" s="17"/>
      <c r="P63" s="17" t="s">
        <v>78</v>
      </c>
      <c r="Q63" s="17" t="s">
        <v>78</v>
      </c>
      <c r="R63" s="17" t="s">
        <v>78</v>
      </c>
      <c r="S63" s="18" t="s">
        <v>78</v>
      </c>
    </row>
    <row r="64" spans="1:19" x14ac:dyDescent="0.35">
      <c r="A64" s="82" t="s">
        <v>234</v>
      </c>
      <c r="B64" s="19">
        <v>663480</v>
      </c>
      <c r="C64" s="19">
        <v>23040</v>
      </c>
      <c r="D64" s="19" t="s">
        <v>78</v>
      </c>
      <c r="E64" s="19" t="s">
        <v>78</v>
      </c>
      <c r="F64" s="19" t="s">
        <v>13</v>
      </c>
      <c r="G64" s="19" t="s">
        <v>78</v>
      </c>
      <c r="H64" s="19" t="s">
        <v>80</v>
      </c>
      <c r="I64" s="19" t="s">
        <v>78</v>
      </c>
      <c r="J64" s="19" t="s">
        <v>78</v>
      </c>
      <c r="K64" s="19" t="s">
        <v>78</v>
      </c>
      <c r="L64" s="19" t="s">
        <v>78</v>
      </c>
      <c r="M64" s="19" t="s">
        <v>78</v>
      </c>
      <c r="N64" s="19" t="s">
        <v>78</v>
      </c>
      <c r="O64" s="19"/>
      <c r="P64" s="19" t="s">
        <v>78</v>
      </c>
      <c r="Q64" s="19" t="s">
        <v>78</v>
      </c>
      <c r="R64" s="19" t="s">
        <v>78</v>
      </c>
      <c r="S64" s="20" t="s">
        <v>78</v>
      </c>
    </row>
    <row r="65" spans="1:19" x14ac:dyDescent="0.35">
      <c r="A65" s="82" t="s">
        <v>234</v>
      </c>
      <c r="B65" s="19">
        <v>1789760</v>
      </c>
      <c r="C65" s="19">
        <v>11160</v>
      </c>
      <c r="D65" s="19" t="s">
        <v>78</v>
      </c>
      <c r="E65" s="19" t="s">
        <v>343</v>
      </c>
      <c r="F65" s="19" t="s">
        <v>11</v>
      </c>
      <c r="G65" s="19" t="s">
        <v>307</v>
      </c>
      <c r="H65" s="19" t="s">
        <v>80</v>
      </c>
      <c r="I65" s="19" t="s">
        <v>78</v>
      </c>
      <c r="J65" s="19" t="s">
        <v>78</v>
      </c>
      <c r="K65" s="19" t="s">
        <v>78</v>
      </c>
      <c r="L65" s="19" t="s">
        <v>78</v>
      </c>
      <c r="M65" s="19" t="s">
        <v>78</v>
      </c>
      <c r="N65" s="19" t="s">
        <v>78</v>
      </c>
      <c r="O65" s="19" t="s">
        <v>78</v>
      </c>
      <c r="P65" s="19" t="s">
        <v>78</v>
      </c>
      <c r="Q65" s="19" t="s">
        <v>78</v>
      </c>
      <c r="R65" s="19" t="s">
        <v>78</v>
      </c>
      <c r="S65" s="20" t="s">
        <v>78</v>
      </c>
    </row>
    <row r="66" spans="1:19" x14ac:dyDescent="0.35">
      <c r="A66" s="81" t="s">
        <v>233</v>
      </c>
      <c r="B66" s="17">
        <v>550920</v>
      </c>
      <c r="C66" s="17">
        <v>15800</v>
      </c>
      <c r="D66" s="17" t="s">
        <v>78</v>
      </c>
      <c r="E66" s="17" t="s">
        <v>78</v>
      </c>
      <c r="F66" s="17" t="s">
        <v>79</v>
      </c>
      <c r="G66" s="17" t="s">
        <v>78</v>
      </c>
      <c r="H66" s="17" t="s">
        <v>80</v>
      </c>
      <c r="I66" s="17" t="s">
        <v>78</v>
      </c>
      <c r="J66" s="17" t="s">
        <v>78</v>
      </c>
      <c r="K66" s="17" t="s">
        <v>78</v>
      </c>
      <c r="L66" s="17" t="s">
        <v>78</v>
      </c>
      <c r="M66" s="17" t="s">
        <v>78</v>
      </c>
      <c r="N66" s="17" t="s">
        <v>78</v>
      </c>
      <c r="O66" s="17"/>
      <c r="P66" s="17" t="s">
        <v>78</v>
      </c>
      <c r="Q66" s="17" t="s">
        <v>78</v>
      </c>
      <c r="R66" s="17" t="s">
        <v>78</v>
      </c>
      <c r="S66" s="18" t="s">
        <v>78</v>
      </c>
    </row>
    <row r="67" spans="1:19" x14ac:dyDescent="0.35">
      <c r="A67" s="82" t="s">
        <v>233</v>
      </c>
      <c r="B67" s="19">
        <v>2061240</v>
      </c>
      <c r="C67" s="19">
        <v>9960</v>
      </c>
      <c r="D67" s="19" t="s">
        <v>78</v>
      </c>
      <c r="E67" s="19" t="s">
        <v>78</v>
      </c>
      <c r="F67" s="19" t="s">
        <v>79</v>
      </c>
      <c r="G67" s="19" t="s">
        <v>78</v>
      </c>
      <c r="H67" s="19" t="s">
        <v>80</v>
      </c>
      <c r="I67" s="19" t="s">
        <v>78</v>
      </c>
      <c r="J67" s="19" t="s">
        <v>78</v>
      </c>
      <c r="K67" s="19" t="s">
        <v>78</v>
      </c>
      <c r="L67" s="19" t="s">
        <v>78</v>
      </c>
      <c r="M67" s="19" t="s">
        <v>78</v>
      </c>
      <c r="N67" s="19" t="s">
        <v>78</v>
      </c>
      <c r="O67" s="19"/>
      <c r="P67" s="19" t="s">
        <v>78</v>
      </c>
      <c r="Q67" s="19" t="s">
        <v>78</v>
      </c>
      <c r="R67" s="19" t="s">
        <v>78</v>
      </c>
      <c r="S67" s="20" t="s">
        <v>78</v>
      </c>
    </row>
    <row r="68" spans="1:19" x14ac:dyDescent="0.35">
      <c r="A68" s="82" t="s">
        <v>233</v>
      </c>
      <c r="B68" s="19">
        <v>682000</v>
      </c>
      <c r="C68" s="19">
        <v>11160</v>
      </c>
      <c r="D68" s="19" t="s">
        <v>78</v>
      </c>
      <c r="E68" s="19" t="s">
        <v>78</v>
      </c>
      <c r="F68" s="19" t="s">
        <v>79</v>
      </c>
      <c r="G68" s="19" t="s">
        <v>78</v>
      </c>
      <c r="H68" s="19" t="s">
        <v>80</v>
      </c>
      <c r="I68" s="19" t="s">
        <v>78</v>
      </c>
      <c r="J68" s="19" t="s">
        <v>78</v>
      </c>
      <c r="K68" s="19" t="s">
        <v>78</v>
      </c>
      <c r="L68" s="19" t="s">
        <v>78</v>
      </c>
      <c r="M68" s="19" t="s">
        <v>78</v>
      </c>
      <c r="N68" s="19" t="s">
        <v>78</v>
      </c>
      <c r="O68" s="19"/>
      <c r="P68" s="19" t="s">
        <v>78</v>
      </c>
      <c r="Q68" s="19" t="s">
        <v>78</v>
      </c>
      <c r="R68" s="19" t="s">
        <v>78</v>
      </c>
      <c r="S68" s="20" t="s">
        <v>78</v>
      </c>
    </row>
    <row r="69" spans="1:19" x14ac:dyDescent="0.35">
      <c r="A69" s="82" t="s">
        <v>233</v>
      </c>
      <c r="B69" s="19">
        <v>51920</v>
      </c>
      <c r="C69" s="19">
        <v>14400</v>
      </c>
      <c r="D69" s="19" t="s">
        <v>78</v>
      </c>
      <c r="E69" s="19" t="s">
        <v>343</v>
      </c>
      <c r="F69" s="19" t="s">
        <v>83</v>
      </c>
      <c r="G69" s="19" t="s">
        <v>308</v>
      </c>
      <c r="H69" s="19" t="s">
        <v>80</v>
      </c>
      <c r="I69" s="19" t="s">
        <v>78</v>
      </c>
      <c r="J69" s="19" t="s">
        <v>78</v>
      </c>
      <c r="K69" s="19" t="s">
        <v>78</v>
      </c>
      <c r="L69" s="19" t="s">
        <v>78</v>
      </c>
      <c r="M69" s="19" t="s">
        <v>78</v>
      </c>
      <c r="N69" s="19" t="s">
        <v>78</v>
      </c>
      <c r="O69" s="19" t="s">
        <v>78</v>
      </c>
      <c r="P69" s="19" t="s">
        <v>78</v>
      </c>
      <c r="Q69" s="19" t="s">
        <v>78</v>
      </c>
      <c r="R69" s="19" t="s">
        <v>78</v>
      </c>
      <c r="S69" s="20" t="s">
        <v>78</v>
      </c>
    </row>
    <row r="70" spans="1:19" x14ac:dyDescent="0.35">
      <c r="A70" s="82" t="s">
        <v>244</v>
      </c>
      <c r="B70" s="19">
        <v>598800</v>
      </c>
      <c r="C70" s="19">
        <v>18320</v>
      </c>
      <c r="D70" s="19" t="s">
        <v>78</v>
      </c>
      <c r="E70" s="19" t="s">
        <v>78</v>
      </c>
      <c r="F70" s="19" t="s">
        <v>13</v>
      </c>
      <c r="G70" s="19" t="s">
        <v>78</v>
      </c>
      <c r="H70" s="19" t="s">
        <v>80</v>
      </c>
      <c r="I70" s="19" t="s">
        <v>78</v>
      </c>
      <c r="J70" s="19" t="s">
        <v>78</v>
      </c>
      <c r="K70" s="19" t="s">
        <v>78</v>
      </c>
      <c r="L70" s="19" t="s">
        <v>78</v>
      </c>
      <c r="M70" s="19" t="s">
        <v>78</v>
      </c>
      <c r="N70" s="19" t="s">
        <v>78</v>
      </c>
      <c r="O70" s="19"/>
      <c r="P70" s="19" t="s">
        <v>78</v>
      </c>
      <c r="Q70" s="19" t="s">
        <v>78</v>
      </c>
      <c r="R70" s="19" t="s">
        <v>78</v>
      </c>
      <c r="S70" s="20" t="s">
        <v>78</v>
      </c>
    </row>
    <row r="71" spans="1:19" x14ac:dyDescent="0.35">
      <c r="A71" s="81" t="s">
        <v>244</v>
      </c>
      <c r="B71" s="17">
        <v>2103040</v>
      </c>
      <c r="C71" s="17">
        <v>7000</v>
      </c>
      <c r="D71" s="17" t="s">
        <v>78</v>
      </c>
      <c r="E71" s="17" t="s">
        <v>343</v>
      </c>
      <c r="F71" s="17" t="s">
        <v>83</v>
      </c>
      <c r="G71" s="17" t="s">
        <v>15</v>
      </c>
      <c r="H71" s="17" t="s">
        <v>80</v>
      </c>
      <c r="I71" s="17" t="s">
        <v>78</v>
      </c>
      <c r="J71" s="17" t="s">
        <v>78</v>
      </c>
      <c r="K71" s="17" t="s">
        <v>78</v>
      </c>
      <c r="L71" s="17" t="s">
        <v>78</v>
      </c>
      <c r="M71" s="17" t="s">
        <v>78</v>
      </c>
      <c r="N71" s="17" t="s">
        <v>78</v>
      </c>
      <c r="O71" s="17"/>
      <c r="P71" s="17" t="s">
        <v>78</v>
      </c>
      <c r="Q71" s="17" t="s">
        <v>78</v>
      </c>
      <c r="R71" s="17" t="s">
        <v>78</v>
      </c>
      <c r="S71" s="18" t="s">
        <v>78</v>
      </c>
    </row>
    <row r="72" spans="1:19" x14ac:dyDescent="0.35">
      <c r="A72" s="82" t="s">
        <v>244</v>
      </c>
      <c r="B72" s="19">
        <v>775000</v>
      </c>
      <c r="C72" s="19">
        <v>16680</v>
      </c>
      <c r="D72" s="19" t="s">
        <v>78</v>
      </c>
      <c r="E72" s="19" t="s">
        <v>343</v>
      </c>
      <c r="F72" s="19" t="s">
        <v>83</v>
      </c>
      <c r="G72" s="19" t="s">
        <v>308</v>
      </c>
      <c r="H72" s="19" t="s">
        <v>80</v>
      </c>
      <c r="I72" s="19" t="s">
        <v>78</v>
      </c>
      <c r="J72" s="19" t="s">
        <v>78</v>
      </c>
      <c r="K72" s="19" t="s">
        <v>78</v>
      </c>
      <c r="L72" s="19" t="s">
        <v>78</v>
      </c>
      <c r="M72" s="19" t="s">
        <v>78</v>
      </c>
      <c r="N72" s="19" t="s">
        <v>78</v>
      </c>
      <c r="O72" s="19"/>
      <c r="P72" s="19" t="s">
        <v>78</v>
      </c>
      <c r="Q72" s="19" t="s">
        <v>78</v>
      </c>
      <c r="R72" s="19" t="s">
        <v>78</v>
      </c>
      <c r="S72" s="20" t="s">
        <v>78</v>
      </c>
    </row>
    <row r="73" spans="1:19" x14ac:dyDescent="0.35">
      <c r="A73" s="82" t="s">
        <v>244</v>
      </c>
      <c r="B73" s="19">
        <v>121320</v>
      </c>
      <c r="C73" s="19">
        <v>13680</v>
      </c>
      <c r="D73" s="19" t="s">
        <v>78</v>
      </c>
      <c r="E73" s="19" t="s">
        <v>78</v>
      </c>
      <c r="F73" s="19" t="s">
        <v>79</v>
      </c>
      <c r="G73" s="19" t="s">
        <v>78</v>
      </c>
      <c r="H73" s="19" t="s">
        <v>80</v>
      </c>
      <c r="I73" s="19" t="s">
        <v>78</v>
      </c>
      <c r="J73" s="19" t="s">
        <v>78</v>
      </c>
      <c r="K73" s="19" t="s">
        <v>78</v>
      </c>
      <c r="L73" s="19" t="s">
        <v>78</v>
      </c>
      <c r="M73" s="19" t="s">
        <v>78</v>
      </c>
      <c r="N73" s="19" t="s">
        <v>78</v>
      </c>
      <c r="O73" s="19" t="s">
        <v>78</v>
      </c>
      <c r="P73" s="19" t="s">
        <v>78</v>
      </c>
      <c r="Q73" s="19" t="s">
        <v>78</v>
      </c>
      <c r="R73" s="19" t="s">
        <v>78</v>
      </c>
      <c r="S73" s="20" t="s">
        <v>78</v>
      </c>
    </row>
    <row r="74" spans="1:19" x14ac:dyDescent="0.35">
      <c r="A74" s="81" t="s">
        <v>505</v>
      </c>
      <c r="B74" s="17">
        <v>614160</v>
      </c>
      <c r="C74" s="17">
        <v>19520</v>
      </c>
      <c r="D74" s="17" t="s">
        <v>78</v>
      </c>
      <c r="E74" s="17" t="s">
        <v>413</v>
      </c>
      <c r="F74" s="17" t="s">
        <v>11</v>
      </c>
      <c r="G74" s="17" t="s">
        <v>15</v>
      </c>
      <c r="H74" s="17" t="s">
        <v>80</v>
      </c>
      <c r="I74" s="17" t="s">
        <v>78</v>
      </c>
      <c r="J74" s="17" t="s">
        <v>78</v>
      </c>
      <c r="K74" s="17" t="s">
        <v>78</v>
      </c>
      <c r="L74" s="17" t="s">
        <v>78</v>
      </c>
      <c r="M74" s="17" t="s">
        <v>78</v>
      </c>
      <c r="N74" s="17" t="s">
        <v>78</v>
      </c>
      <c r="O74" s="17"/>
      <c r="P74" s="17" t="s">
        <v>78</v>
      </c>
      <c r="Q74" s="17" t="s">
        <v>78</v>
      </c>
      <c r="R74" s="17" t="s">
        <v>78</v>
      </c>
      <c r="S74" s="18" t="s">
        <v>78</v>
      </c>
    </row>
    <row r="75" spans="1:19" x14ac:dyDescent="0.35">
      <c r="A75" s="82" t="s">
        <v>505</v>
      </c>
      <c r="B75" s="19">
        <v>32520</v>
      </c>
      <c r="C75" s="19">
        <v>16680</v>
      </c>
      <c r="D75" s="19" t="s">
        <v>78</v>
      </c>
      <c r="E75" s="19" t="s">
        <v>78</v>
      </c>
      <c r="F75" s="19" t="s">
        <v>79</v>
      </c>
      <c r="G75" s="19" t="s">
        <v>78</v>
      </c>
      <c r="H75" s="19" t="s">
        <v>80</v>
      </c>
      <c r="I75" s="19" t="s">
        <v>78</v>
      </c>
      <c r="J75" s="19" t="s">
        <v>78</v>
      </c>
      <c r="K75" s="19" t="s">
        <v>78</v>
      </c>
      <c r="L75" s="19" t="s">
        <v>78</v>
      </c>
      <c r="M75" s="19" t="s">
        <v>78</v>
      </c>
      <c r="N75" s="19" t="s">
        <v>78</v>
      </c>
      <c r="O75" s="19"/>
      <c r="P75" s="19" t="s">
        <v>78</v>
      </c>
      <c r="Q75" s="19" t="s">
        <v>78</v>
      </c>
      <c r="R75" s="19" t="s">
        <v>78</v>
      </c>
      <c r="S75" s="20" t="s">
        <v>78</v>
      </c>
    </row>
    <row r="76" spans="1:19" x14ac:dyDescent="0.35">
      <c r="A76" s="82" t="s">
        <v>505</v>
      </c>
      <c r="B76" s="19">
        <v>165840</v>
      </c>
      <c r="C76" s="19">
        <v>24000</v>
      </c>
      <c r="D76" s="19" t="s">
        <v>78</v>
      </c>
      <c r="E76" s="19" t="s">
        <v>343</v>
      </c>
      <c r="F76" s="19" t="s">
        <v>10</v>
      </c>
      <c r="G76" s="19" t="s">
        <v>308</v>
      </c>
      <c r="H76" s="19" t="s">
        <v>80</v>
      </c>
      <c r="I76" s="19" t="s">
        <v>78</v>
      </c>
      <c r="J76" s="19" t="s">
        <v>78</v>
      </c>
      <c r="K76" s="19" t="s">
        <v>78</v>
      </c>
      <c r="L76" s="19" t="s">
        <v>78</v>
      </c>
      <c r="M76" s="19" t="s">
        <v>78</v>
      </c>
      <c r="N76" s="19" t="s">
        <v>78</v>
      </c>
      <c r="O76" s="19" t="s">
        <v>78</v>
      </c>
      <c r="P76" s="19" t="s">
        <v>78</v>
      </c>
      <c r="Q76" s="19" t="s">
        <v>78</v>
      </c>
      <c r="R76" s="19" t="s">
        <v>78</v>
      </c>
      <c r="S76" s="20" t="s">
        <v>78</v>
      </c>
    </row>
    <row r="77" spans="1:19" x14ac:dyDescent="0.35">
      <c r="A77" s="82" t="s">
        <v>504</v>
      </c>
      <c r="B77" s="19">
        <v>697760</v>
      </c>
      <c r="C77" s="19">
        <v>16600</v>
      </c>
      <c r="D77" s="19" t="s">
        <v>78</v>
      </c>
      <c r="E77" s="19" t="s">
        <v>413</v>
      </c>
      <c r="F77" s="19" t="s">
        <v>83</v>
      </c>
      <c r="G77" s="19" t="s">
        <v>308</v>
      </c>
      <c r="H77" s="19" t="s">
        <v>80</v>
      </c>
      <c r="I77" s="19" t="s">
        <v>78</v>
      </c>
      <c r="J77" s="19" t="s">
        <v>78</v>
      </c>
      <c r="K77" s="19" t="s">
        <v>78</v>
      </c>
      <c r="L77" s="19" t="s">
        <v>78</v>
      </c>
      <c r="M77" s="19" t="s">
        <v>78</v>
      </c>
      <c r="N77" s="19" t="s">
        <v>78</v>
      </c>
      <c r="O77" s="19"/>
      <c r="P77" s="19" t="s">
        <v>78</v>
      </c>
      <c r="Q77" s="19" t="s">
        <v>78</v>
      </c>
      <c r="R77" s="19" t="s">
        <v>78</v>
      </c>
      <c r="S77" s="20" t="s">
        <v>78</v>
      </c>
    </row>
    <row r="78" spans="1:19" x14ac:dyDescent="0.35">
      <c r="A78" s="81" t="s">
        <v>504</v>
      </c>
      <c r="B78" s="17">
        <v>146920</v>
      </c>
      <c r="C78" s="17">
        <v>7000</v>
      </c>
      <c r="D78" s="17" t="s">
        <v>78</v>
      </c>
      <c r="E78" s="17" t="s">
        <v>78</v>
      </c>
      <c r="F78" s="17" t="s">
        <v>13</v>
      </c>
      <c r="G78" s="17" t="s">
        <v>78</v>
      </c>
      <c r="H78" s="17" t="s">
        <v>80</v>
      </c>
      <c r="I78" s="17" t="s">
        <v>78</v>
      </c>
      <c r="J78" s="17" t="s">
        <v>78</v>
      </c>
      <c r="K78" s="17" t="s">
        <v>78</v>
      </c>
      <c r="L78" s="17" t="s">
        <v>78</v>
      </c>
      <c r="M78" s="17" t="s">
        <v>78</v>
      </c>
      <c r="N78" s="17" t="s">
        <v>78</v>
      </c>
      <c r="O78" s="17"/>
      <c r="P78" s="17" t="s">
        <v>78</v>
      </c>
      <c r="Q78" s="17" t="s">
        <v>78</v>
      </c>
      <c r="R78" s="17" t="s">
        <v>78</v>
      </c>
      <c r="S78" s="18" t="s">
        <v>78</v>
      </c>
    </row>
    <row r="79" spans="1:19" x14ac:dyDescent="0.35">
      <c r="A79" s="82" t="s">
        <v>504</v>
      </c>
      <c r="B79" s="19">
        <v>290280</v>
      </c>
      <c r="C79" s="19">
        <v>20040</v>
      </c>
      <c r="D79" s="19" t="s">
        <v>78</v>
      </c>
      <c r="E79" s="19" t="s">
        <v>78</v>
      </c>
      <c r="F79" s="19" t="s">
        <v>13</v>
      </c>
      <c r="G79" s="19" t="s">
        <v>78</v>
      </c>
      <c r="H79" s="19" t="s">
        <v>80</v>
      </c>
      <c r="I79" s="19" t="s">
        <v>78</v>
      </c>
      <c r="J79" s="19" t="s">
        <v>78</v>
      </c>
      <c r="K79" s="19" t="s">
        <v>78</v>
      </c>
      <c r="L79" s="19" t="s">
        <v>78</v>
      </c>
      <c r="M79" s="19" t="s">
        <v>78</v>
      </c>
      <c r="N79" s="19" t="s">
        <v>78</v>
      </c>
      <c r="O79" s="19" t="s">
        <v>78</v>
      </c>
      <c r="P79" s="19" t="s">
        <v>78</v>
      </c>
      <c r="Q79" s="19" t="s">
        <v>78</v>
      </c>
      <c r="R79" s="19" t="s">
        <v>78</v>
      </c>
      <c r="S79" s="20" t="s">
        <v>78</v>
      </c>
    </row>
    <row r="80" spans="1:19" x14ac:dyDescent="0.35">
      <c r="A80" s="81" t="s">
        <v>503</v>
      </c>
      <c r="B80" s="17">
        <v>818720</v>
      </c>
      <c r="C80" s="17">
        <v>14680</v>
      </c>
      <c r="D80" s="17" t="s">
        <v>78</v>
      </c>
      <c r="E80" s="17" t="s">
        <v>78</v>
      </c>
      <c r="F80" s="17" t="s">
        <v>105</v>
      </c>
      <c r="G80" s="17" t="s">
        <v>78</v>
      </c>
      <c r="H80" s="17" t="s">
        <v>80</v>
      </c>
      <c r="I80" s="17" t="s">
        <v>78</v>
      </c>
      <c r="J80" s="17" t="s">
        <v>78</v>
      </c>
      <c r="K80" s="17" t="s">
        <v>78</v>
      </c>
      <c r="L80" s="17" t="s">
        <v>78</v>
      </c>
      <c r="M80" s="17" t="s">
        <v>78</v>
      </c>
      <c r="N80" s="17" t="s">
        <v>78</v>
      </c>
      <c r="O80" s="17"/>
      <c r="P80" s="17" t="s">
        <v>78</v>
      </c>
      <c r="Q80" s="17" t="s">
        <v>78</v>
      </c>
      <c r="R80" s="17" t="s">
        <v>78</v>
      </c>
      <c r="S80" s="18" t="s">
        <v>78</v>
      </c>
    </row>
    <row r="81" spans="1:19" x14ac:dyDescent="0.35">
      <c r="A81" s="81" t="s">
        <v>503</v>
      </c>
      <c r="B81" s="17">
        <v>160640</v>
      </c>
      <c r="C81" s="17">
        <v>7000</v>
      </c>
      <c r="D81" s="17" t="s">
        <v>78</v>
      </c>
      <c r="E81" s="17" t="s">
        <v>413</v>
      </c>
      <c r="F81" s="17" t="s">
        <v>11</v>
      </c>
      <c r="G81" s="17" t="s">
        <v>15</v>
      </c>
      <c r="H81" s="17" t="s">
        <v>80</v>
      </c>
      <c r="I81" s="17" t="s">
        <v>78</v>
      </c>
      <c r="J81" s="17" t="s">
        <v>78</v>
      </c>
      <c r="K81" s="17" t="s">
        <v>78</v>
      </c>
      <c r="L81" s="17" t="s">
        <v>78</v>
      </c>
      <c r="M81" s="17" t="s">
        <v>78</v>
      </c>
      <c r="N81" s="17" t="s">
        <v>78</v>
      </c>
      <c r="O81" s="17"/>
      <c r="P81" s="17" t="s">
        <v>78</v>
      </c>
      <c r="Q81" s="17" t="s">
        <v>78</v>
      </c>
      <c r="R81" s="17" t="s">
        <v>78</v>
      </c>
      <c r="S81" s="18" t="s">
        <v>78</v>
      </c>
    </row>
    <row r="82" spans="1:19" x14ac:dyDescent="0.35">
      <c r="A82" s="82" t="s">
        <v>503</v>
      </c>
      <c r="B82" s="19">
        <v>307400</v>
      </c>
      <c r="C82" s="19">
        <v>19560</v>
      </c>
      <c r="D82" s="19" t="s">
        <v>78</v>
      </c>
      <c r="E82" s="19" t="s">
        <v>343</v>
      </c>
      <c r="F82" s="19" t="s">
        <v>10</v>
      </c>
      <c r="G82" s="19" t="s">
        <v>305</v>
      </c>
      <c r="H82" s="19" t="s">
        <v>80</v>
      </c>
      <c r="I82" s="19" t="s">
        <v>78</v>
      </c>
      <c r="J82" s="19" t="s">
        <v>78</v>
      </c>
      <c r="K82" s="19" t="s">
        <v>78</v>
      </c>
      <c r="L82" s="19" t="s">
        <v>78</v>
      </c>
      <c r="M82" s="19" t="s">
        <v>78</v>
      </c>
      <c r="N82" s="19" t="s">
        <v>78</v>
      </c>
      <c r="O82" s="19" t="s">
        <v>78</v>
      </c>
      <c r="P82" s="19" t="s">
        <v>78</v>
      </c>
      <c r="Q82" s="19" t="s">
        <v>78</v>
      </c>
      <c r="R82" s="19" t="s">
        <v>78</v>
      </c>
      <c r="S82" s="20" t="s">
        <v>78</v>
      </c>
    </row>
    <row r="83" spans="1:19" x14ac:dyDescent="0.35">
      <c r="A83" s="82" t="s">
        <v>502</v>
      </c>
      <c r="B83" s="19">
        <v>893440</v>
      </c>
      <c r="C83" s="19">
        <v>15400</v>
      </c>
      <c r="D83" s="19" t="s">
        <v>78</v>
      </c>
      <c r="E83" s="19" t="s">
        <v>78</v>
      </c>
      <c r="F83" s="19" t="s">
        <v>79</v>
      </c>
      <c r="G83" s="19" t="s">
        <v>78</v>
      </c>
      <c r="H83" s="19" t="s">
        <v>80</v>
      </c>
      <c r="I83" s="19" t="s">
        <v>78</v>
      </c>
      <c r="J83" s="19" t="s">
        <v>78</v>
      </c>
      <c r="K83" s="19" t="s">
        <v>78</v>
      </c>
      <c r="L83" s="19" t="s">
        <v>78</v>
      </c>
      <c r="M83" s="19" t="s">
        <v>78</v>
      </c>
      <c r="N83" s="19" t="s">
        <v>78</v>
      </c>
      <c r="O83" s="19"/>
      <c r="P83" s="19" t="s">
        <v>78</v>
      </c>
      <c r="Q83" s="19" t="s">
        <v>78</v>
      </c>
      <c r="R83" s="19" t="s">
        <v>78</v>
      </c>
      <c r="S83" s="20" t="s">
        <v>78</v>
      </c>
    </row>
    <row r="84" spans="1:19" x14ac:dyDescent="0.35">
      <c r="A84" s="82" t="s">
        <v>502</v>
      </c>
      <c r="B84" s="19">
        <v>193840</v>
      </c>
      <c r="C84" s="19">
        <v>11360</v>
      </c>
      <c r="D84" s="19" t="s">
        <v>78</v>
      </c>
      <c r="E84" s="19" t="s">
        <v>413</v>
      </c>
      <c r="F84" s="19" t="s">
        <v>11</v>
      </c>
      <c r="G84" s="19" t="s">
        <v>308</v>
      </c>
      <c r="H84" s="19" t="s">
        <v>80</v>
      </c>
      <c r="I84" s="19" t="s">
        <v>78</v>
      </c>
      <c r="J84" s="19" t="s">
        <v>78</v>
      </c>
      <c r="K84" s="19" t="s">
        <v>78</v>
      </c>
      <c r="L84" s="19" t="s">
        <v>78</v>
      </c>
      <c r="M84" s="19" t="s">
        <v>78</v>
      </c>
      <c r="N84" s="19" t="s">
        <v>78</v>
      </c>
      <c r="O84" s="19"/>
      <c r="P84" s="19" t="s">
        <v>78</v>
      </c>
      <c r="Q84" s="19" t="s">
        <v>78</v>
      </c>
      <c r="R84" s="19" t="s">
        <v>78</v>
      </c>
      <c r="S84" s="20" t="s">
        <v>78</v>
      </c>
    </row>
    <row r="85" spans="1:19" x14ac:dyDescent="0.35">
      <c r="A85" s="82" t="s">
        <v>502</v>
      </c>
      <c r="B85" s="19">
        <v>384920</v>
      </c>
      <c r="C85" s="19">
        <v>13080</v>
      </c>
      <c r="D85" s="19" t="s">
        <v>78</v>
      </c>
      <c r="E85" s="19" t="s">
        <v>78</v>
      </c>
      <c r="F85" s="19" t="s">
        <v>13</v>
      </c>
      <c r="G85" s="19" t="s">
        <v>78</v>
      </c>
      <c r="H85" s="19" t="s">
        <v>80</v>
      </c>
      <c r="I85" s="19" t="s">
        <v>78</v>
      </c>
      <c r="J85" s="19" t="s">
        <v>78</v>
      </c>
      <c r="K85" s="19" t="s">
        <v>78</v>
      </c>
      <c r="L85" s="19" t="s">
        <v>78</v>
      </c>
      <c r="M85" s="19" t="s">
        <v>78</v>
      </c>
      <c r="N85" s="19" t="s">
        <v>78</v>
      </c>
      <c r="O85" s="19" t="s">
        <v>78</v>
      </c>
      <c r="P85" s="19" t="s">
        <v>78</v>
      </c>
      <c r="Q85" s="19" t="s">
        <v>78</v>
      </c>
      <c r="R85" s="19" t="s">
        <v>78</v>
      </c>
      <c r="S85" s="20" t="s">
        <v>78</v>
      </c>
    </row>
    <row r="86" spans="1:19" x14ac:dyDescent="0.35">
      <c r="A86" s="81" t="s">
        <v>501</v>
      </c>
      <c r="B86" s="17">
        <v>941480</v>
      </c>
      <c r="C86" s="17">
        <v>16280</v>
      </c>
      <c r="D86" s="17" t="s">
        <v>78</v>
      </c>
      <c r="E86" s="17" t="s">
        <v>344</v>
      </c>
      <c r="F86" s="17" t="s">
        <v>11</v>
      </c>
      <c r="G86" s="17" t="s">
        <v>282</v>
      </c>
      <c r="H86" s="17" t="s">
        <v>80</v>
      </c>
      <c r="I86" s="17" t="s">
        <v>78</v>
      </c>
      <c r="J86" s="17" t="s">
        <v>78</v>
      </c>
      <c r="K86" s="17" t="s">
        <v>78</v>
      </c>
      <c r="L86" s="17" t="s">
        <v>78</v>
      </c>
      <c r="M86" s="17" t="s">
        <v>78</v>
      </c>
      <c r="N86" s="17" t="s">
        <v>78</v>
      </c>
      <c r="O86" s="17"/>
      <c r="P86" s="17" t="s">
        <v>78</v>
      </c>
      <c r="Q86" s="17" t="s">
        <v>78</v>
      </c>
      <c r="R86" s="17" t="s">
        <v>78</v>
      </c>
      <c r="S86" s="18" t="s">
        <v>78</v>
      </c>
    </row>
    <row r="87" spans="1:19" x14ac:dyDescent="0.35">
      <c r="A87" s="81" t="s">
        <v>501</v>
      </c>
      <c r="B87" s="17">
        <v>260520</v>
      </c>
      <c r="C87" s="17">
        <v>12120</v>
      </c>
      <c r="D87" s="17" t="s">
        <v>78</v>
      </c>
      <c r="E87" s="17" t="s">
        <v>413</v>
      </c>
      <c r="F87" s="17" t="s">
        <v>11</v>
      </c>
      <c r="G87" s="17" t="s">
        <v>296</v>
      </c>
      <c r="H87" s="17" t="s">
        <v>80</v>
      </c>
      <c r="I87" s="17" t="s">
        <v>78</v>
      </c>
      <c r="J87" s="17" t="s">
        <v>78</v>
      </c>
      <c r="K87" s="17" t="s">
        <v>78</v>
      </c>
      <c r="L87" s="17" t="s">
        <v>78</v>
      </c>
      <c r="M87" s="17" t="s">
        <v>78</v>
      </c>
      <c r="N87" s="17" t="s">
        <v>78</v>
      </c>
      <c r="O87" s="17"/>
      <c r="P87" s="17" t="s">
        <v>78</v>
      </c>
      <c r="Q87" s="17" t="s">
        <v>78</v>
      </c>
      <c r="R87" s="17" t="s">
        <v>78</v>
      </c>
      <c r="S87" s="18" t="s">
        <v>78</v>
      </c>
    </row>
    <row r="88" spans="1:19" x14ac:dyDescent="0.35">
      <c r="A88" s="82" t="s">
        <v>501</v>
      </c>
      <c r="B88" s="19">
        <v>396840</v>
      </c>
      <c r="C88" s="19">
        <v>13360</v>
      </c>
      <c r="D88" s="19" t="s">
        <v>78</v>
      </c>
      <c r="E88" s="19" t="s">
        <v>78</v>
      </c>
      <c r="F88" s="19" t="s">
        <v>13</v>
      </c>
      <c r="G88" s="19" t="s">
        <v>78</v>
      </c>
      <c r="H88" s="19" t="s">
        <v>80</v>
      </c>
      <c r="I88" s="19" t="s">
        <v>78</v>
      </c>
      <c r="J88" s="19" t="s">
        <v>78</v>
      </c>
      <c r="K88" s="19" t="s">
        <v>78</v>
      </c>
      <c r="L88" s="19" t="s">
        <v>78</v>
      </c>
      <c r="M88" s="19" t="s">
        <v>78</v>
      </c>
      <c r="N88" s="19" t="s">
        <v>78</v>
      </c>
      <c r="O88" s="19" t="s">
        <v>78</v>
      </c>
      <c r="P88" s="19" t="s">
        <v>78</v>
      </c>
      <c r="Q88" s="19" t="s">
        <v>78</v>
      </c>
      <c r="R88" s="19" t="s">
        <v>78</v>
      </c>
      <c r="S88" s="20" t="s">
        <v>78</v>
      </c>
    </row>
    <row r="89" spans="1:19" x14ac:dyDescent="0.35">
      <c r="A89" s="82" t="s">
        <v>500</v>
      </c>
      <c r="B89" s="19">
        <v>1041520</v>
      </c>
      <c r="C89" s="19">
        <v>16160</v>
      </c>
      <c r="D89" s="19" t="s">
        <v>78</v>
      </c>
      <c r="E89" s="19" t="s">
        <v>413</v>
      </c>
      <c r="F89" s="19" t="s">
        <v>11</v>
      </c>
      <c r="G89" s="19" t="s">
        <v>17</v>
      </c>
      <c r="H89" s="19" t="s">
        <v>80</v>
      </c>
      <c r="I89" s="19" t="s">
        <v>78</v>
      </c>
      <c r="J89" s="19" t="s">
        <v>78</v>
      </c>
      <c r="K89" s="19" t="s">
        <v>78</v>
      </c>
      <c r="L89" s="19" t="s">
        <v>78</v>
      </c>
      <c r="M89" s="19" t="s">
        <v>78</v>
      </c>
      <c r="N89" s="19" t="s">
        <v>78</v>
      </c>
      <c r="O89" s="19"/>
      <c r="P89" s="19" t="s">
        <v>78</v>
      </c>
      <c r="Q89" s="19" t="s">
        <v>78</v>
      </c>
      <c r="R89" s="19" t="s">
        <v>78</v>
      </c>
      <c r="S89" s="20" t="s">
        <v>78</v>
      </c>
    </row>
    <row r="90" spans="1:19" x14ac:dyDescent="0.35">
      <c r="A90" s="81" t="s">
        <v>500</v>
      </c>
      <c r="B90" s="17">
        <v>323240</v>
      </c>
      <c r="C90" s="17">
        <v>21600</v>
      </c>
      <c r="D90" s="17" t="s">
        <v>78</v>
      </c>
      <c r="E90" s="17" t="s">
        <v>78</v>
      </c>
      <c r="F90" s="17" t="s">
        <v>13</v>
      </c>
      <c r="G90" s="17" t="s">
        <v>78</v>
      </c>
      <c r="H90" s="17" t="s">
        <v>80</v>
      </c>
      <c r="I90" s="17" t="s">
        <v>78</v>
      </c>
      <c r="J90" s="17" t="s">
        <v>78</v>
      </c>
      <c r="K90" s="17" t="s">
        <v>78</v>
      </c>
      <c r="L90" s="17" t="s">
        <v>78</v>
      </c>
      <c r="M90" s="17" t="s">
        <v>78</v>
      </c>
      <c r="N90" s="17" t="s">
        <v>78</v>
      </c>
      <c r="O90" s="17"/>
      <c r="P90" s="17" t="s">
        <v>78</v>
      </c>
      <c r="Q90" s="17" t="s">
        <v>78</v>
      </c>
      <c r="R90" s="17" t="s">
        <v>78</v>
      </c>
      <c r="S90" s="18" t="s">
        <v>78</v>
      </c>
    </row>
    <row r="91" spans="1:19" x14ac:dyDescent="0.35">
      <c r="A91" s="82" t="s">
        <v>500</v>
      </c>
      <c r="B91" s="19">
        <v>407880</v>
      </c>
      <c r="C91" s="19">
        <v>7000</v>
      </c>
      <c r="D91" s="19" t="s">
        <v>78</v>
      </c>
      <c r="E91" s="19" t="s">
        <v>343</v>
      </c>
      <c r="F91" s="19" t="s">
        <v>11</v>
      </c>
      <c r="G91" s="19" t="s">
        <v>308</v>
      </c>
      <c r="H91" s="19" t="s">
        <v>80</v>
      </c>
      <c r="I91" s="19" t="s">
        <v>78</v>
      </c>
      <c r="J91" s="19" t="s">
        <v>78</v>
      </c>
      <c r="K91" s="19" t="s">
        <v>78</v>
      </c>
      <c r="L91" s="19" t="s">
        <v>78</v>
      </c>
      <c r="M91" s="19" t="s">
        <v>78</v>
      </c>
      <c r="N91" s="19" t="s">
        <v>78</v>
      </c>
      <c r="O91" s="19" t="s">
        <v>78</v>
      </c>
      <c r="P91" s="19" t="s">
        <v>78</v>
      </c>
      <c r="Q91" s="19" t="s">
        <v>78</v>
      </c>
      <c r="R91" s="19" t="s">
        <v>78</v>
      </c>
      <c r="S91" s="20" t="s">
        <v>78</v>
      </c>
    </row>
    <row r="92" spans="1:19" x14ac:dyDescent="0.35">
      <c r="A92" s="81" t="s">
        <v>499</v>
      </c>
      <c r="B92" s="17">
        <v>1136960</v>
      </c>
      <c r="C92" s="17">
        <v>12120</v>
      </c>
      <c r="D92" s="17" t="s">
        <v>78</v>
      </c>
      <c r="E92" s="17" t="s">
        <v>78</v>
      </c>
      <c r="F92" s="17" t="s">
        <v>13</v>
      </c>
      <c r="G92" s="17" t="s">
        <v>78</v>
      </c>
      <c r="H92" s="17" t="s">
        <v>80</v>
      </c>
      <c r="I92" s="17" t="s">
        <v>78</v>
      </c>
      <c r="J92" s="17" t="s">
        <v>78</v>
      </c>
      <c r="K92" s="17" t="s">
        <v>78</v>
      </c>
      <c r="L92" s="17" t="s">
        <v>78</v>
      </c>
      <c r="M92" s="17" t="s">
        <v>78</v>
      </c>
      <c r="N92" s="17" t="s">
        <v>78</v>
      </c>
      <c r="O92" s="17"/>
      <c r="P92" s="17" t="s">
        <v>78</v>
      </c>
      <c r="Q92" s="17" t="s">
        <v>78</v>
      </c>
      <c r="R92" s="17" t="s">
        <v>78</v>
      </c>
      <c r="S92" s="18" t="s">
        <v>78</v>
      </c>
    </row>
    <row r="93" spans="1:19" x14ac:dyDescent="0.35">
      <c r="A93" s="82" t="s">
        <v>499</v>
      </c>
      <c r="B93" s="19">
        <v>344320</v>
      </c>
      <c r="C93" s="19">
        <v>14440</v>
      </c>
      <c r="D93" s="19" t="s">
        <v>78</v>
      </c>
      <c r="E93" s="19" t="s">
        <v>413</v>
      </c>
      <c r="F93" s="19" t="s">
        <v>11</v>
      </c>
      <c r="G93" s="19" t="s">
        <v>296</v>
      </c>
      <c r="H93" s="19" t="s">
        <v>80</v>
      </c>
      <c r="I93" s="19" t="s">
        <v>78</v>
      </c>
      <c r="J93" s="19" t="s">
        <v>78</v>
      </c>
      <c r="K93" s="19" t="s">
        <v>78</v>
      </c>
      <c r="L93" s="19" t="s">
        <v>78</v>
      </c>
      <c r="M93" s="19" t="s">
        <v>78</v>
      </c>
      <c r="N93" s="19" t="s">
        <v>78</v>
      </c>
      <c r="O93" s="19"/>
      <c r="P93" s="19" t="s">
        <v>78</v>
      </c>
      <c r="Q93" s="19" t="s">
        <v>78</v>
      </c>
      <c r="R93" s="19" t="s">
        <v>78</v>
      </c>
      <c r="S93" s="20" t="s">
        <v>78</v>
      </c>
    </row>
    <row r="94" spans="1:19" x14ac:dyDescent="0.35">
      <c r="A94" s="82" t="s">
        <v>499</v>
      </c>
      <c r="B94" s="19">
        <v>98000</v>
      </c>
      <c r="C94" s="19">
        <v>14280</v>
      </c>
      <c r="D94" s="19" t="s">
        <v>78</v>
      </c>
      <c r="E94" s="19" t="s">
        <v>413</v>
      </c>
      <c r="F94" s="19" t="s">
        <v>10</v>
      </c>
      <c r="G94" s="19" t="s">
        <v>282</v>
      </c>
      <c r="H94" s="19" t="s">
        <v>80</v>
      </c>
      <c r="I94" s="19" t="s">
        <v>78</v>
      </c>
      <c r="J94" s="19" t="s">
        <v>78</v>
      </c>
      <c r="K94" s="19" t="s">
        <v>78</v>
      </c>
      <c r="L94" s="19" t="s">
        <v>78</v>
      </c>
      <c r="M94" s="19" t="s">
        <v>78</v>
      </c>
      <c r="N94" s="19" t="s">
        <v>78</v>
      </c>
      <c r="O94" s="19" t="s">
        <v>78</v>
      </c>
      <c r="P94" s="19" t="s">
        <v>78</v>
      </c>
      <c r="Q94" s="19" t="s">
        <v>78</v>
      </c>
      <c r="R94" s="19" t="s">
        <v>78</v>
      </c>
      <c r="S94" s="20" t="s">
        <v>78</v>
      </c>
    </row>
    <row r="95" spans="1:19" x14ac:dyDescent="0.35">
      <c r="A95" s="81" t="s">
        <v>88</v>
      </c>
      <c r="B95" s="17">
        <v>556760</v>
      </c>
      <c r="C95" s="17">
        <v>16680</v>
      </c>
      <c r="D95" s="17" t="s">
        <v>78</v>
      </c>
      <c r="E95" s="17" t="s">
        <v>343</v>
      </c>
      <c r="F95" s="17" t="s">
        <v>11</v>
      </c>
      <c r="G95" s="17" t="s">
        <v>282</v>
      </c>
      <c r="H95" s="17" t="s">
        <v>80</v>
      </c>
      <c r="I95" s="17" t="s">
        <v>78</v>
      </c>
      <c r="J95" s="17" t="s">
        <v>78</v>
      </c>
      <c r="K95" s="17" t="s">
        <v>78</v>
      </c>
      <c r="L95" s="17" t="s">
        <v>78</v>
      </c>
      <c r="M95" s="17" t="s">
        <v>78</v>
      </c>
      <c r="N95" s="17" t="s">
        <v>78</v>
      </c>
      <c r="O95" s="17"/>
      <c r="P95" s="17" t="s">
        <v>78</v>
      </c>
      <c r="Q95" s="17" t="s">
        <v>78</v>
      </c>
      <c r="R95" s="17" t="s">
        <v>78</v>
      </c>
      <c r="S95" s="18" t="s">
        <v>78</v>
      </c>
    </row>
    <row r="96" spans="1:19" x14ac:dyDescent="0.35">
      <c r="A96" s="82" t="s">
        <v>88</v>
      </c>
      <c r="B96" s="19">
        <v>229440</v>
      </c>
      <c r="C96" s="19">
        <v>11480</v>
      </c>
      <c r="D96" s="19" t="s">
        <v>78</v>
      </c>
      <c r="E96" s="19" t="s">
        <v>343</v>
      </c>
      <c r="F96" s="19" t="s">
        <v>83</v>
      </c>
      <c r="G96" s="19" t="s">
        <v>308</v>
      </c>
      <c r="H96" s="19" t="s">
        <v>80</v>
      </c>
      <c r="I96" s="19" t="s">
        <v>78</v>
      </c>
      <c r="J96" s="19" t="s">
        <v>78</v>
      </c>
      <c r="K96" s="19" t="s">
        <v>78</v>
      </c>
      <c r="L96" s="19" t="s">
        <v>78</v>
      </c>
      <c r="M96" s="19" t="s">
        <v>78</v>
      </c>
      <c r="N96" s="19" t="s">
        <v>78</v>
      </c>
      <c r="O96" s="19"/>
      <c r="P96" s="19" t="s">
        <v>78</v>
      </c>
      <c r="Q96" s="19" t="s">
        <v>78</v>
      </c>
      <c r="R96" s="19" t="s">
        <v>78</v>
      </c>
      <c r="S96" s="20" t="s">
        <v>78</v>
      </c>
    </row>
    <row r="97" spans="1:19" x14ac:dyDescent="0.35">
      <c r="A97" s="81" t="s">
        <v>88</v>
      </c>
      <c r="B97" s="17">
        <v>735920</v>
      </c>
      <c r="C97" s="17">
        <v>22760</v>
      </c>
      <c r="D97" s="17" t="s">
        <v>78</v>
      </c>
      <c r="E97" s="17" t="s">
        <v>78</v>
      </c>
      <c r="F97" s="17" t="s">
        <v>13</v>
      </c>
      <c r="G97" s="17" t="s">
        <v>78</v>
      </c>
      <c r="H97" s="17" t="s">
        <v>80</v>
      </c>
      <c r="I97" s="17" t="s">
        <v>78</v>
      </c>
      <c r="J97" s="17" t="s">
        <v>78</v>
      </c>
      <c r="K97" s="17" t="s">
        <v>78</v>
      </c>
      <c r="L97" s="17" t="s">
        <v>78</v>
      </c>
      <c r="M97" s="17" t="s">
        <v>78</v>
      </c>
      <c r="N97" s="17" t="s">
        <v>78</v>
      </c>
      <c r="O97" s="17"/>
      <c r="P97" s="17" t="s">
        <v>78</v>
      </c>
      <c r="Q97" s="17" t="s">
        <v>78</v>
      </c>
      <c r="R97" s="17" t="s">
        <v>78</v>
      </c>
      <c r="S97" s="18" t="s">
        <v>78</v>
      </c>
    </row>
    <row r="98" spans="1:19" x14ac:dyDescent="0.35">
      <c r="A98" s="82" t="s">
        <v>88</v>
      </c>
      <c r="B98" s="19">
        <v>340680</v>
      </c>
      <c r="C98" s="19">
        <v>18560</v>
      </c>
      <c r="D98" s="19" t="s">
        <v>78</v>
      </c>
      <c r="E98" s="19" t="s">
        <v>78</v>
      </c>
      <c r="F98" s="19" t="s">
        <v>13</v>
      </c>
      <c r="G98" s="19" t="s">
        <v>78</v>
      </c>
      <c r="H98" s="19" t="s">
        <v>80</v>
      </c>
      <c r="I98" s="19" t="s">
        <v>78</v>
      </c>
      <c r="J98" s="19" t="s">
        <v>78</v>
      </c>
      <c r="K98" s="19" t="s">
        <v>78</v>
      </c>
      <c r="L98" s="19" t="s">
        <v>78</v>
      </c>
      <c r="M98" s="19" t="s">
        <v>78</v>
      </c>
      <c r="N98" s="19" t="s">
        <v>78</v>
      </c>
      <c r="O98" s="19"/>
      <c r="P98" s="19" t="s">
        <v>78</v>
      </c>
      <c r="Q98" s="19" t="s">
        <v>78</v>
      </c>
      <c r="R98" s="19" t="s">
        <v>78</v>
      </c>
      <c r="S98" s="20" t="s">
        <v>78</v>
      </c>
    </row>
    <row r="99" spans="1:19" x14ac:dyDescent="0.35">
      <c r="A99" s="82" t="s">
        <v>88</v>
      </c>
      <c r="B99" s="19">
        <v>356280</v>
      </c>
      <c r="C99" s="19">
        <v>17400</v>
      </c>
      <c r="D99" s="19" t="s">
        <v>78</v>
      </c>
      <c r="E99" s="19" t="s">
        <v>343</v>
      </c>
      <c r="F99" s="19" t="s">
        <v>11</v>
      </c>
      <c r="G99" s="19" t="s">
        <v>296</v>
      </c>
      <c r="H99" s="19" t="s">
        <v>80</v>
      </c>
      <c r="I99" s="19" t="s">
        <v>78</v>
      </c>
      <c r="J99" s="19" t="s">
        <v>78</v>
      </c>
      <c r="K99" s="19" t="s">
        <v>78</v>
      </c>
      <c r="L99" s="19" t="s">
        <v>78</v>
      </c>
      <c r="M99" s="19" t="s">
        <v>78</v>
      </c>
      <c r="N99" s="19" t="s">
        <v>78</v>
      </c>
      <c r="O99" s="19" t="s">
        <v>78</v>
      </c>
      <c r="P99" s="19" t="s">
        <v>78</v>
      </c>
      <c r="Q99" s="19" t="s">
        <v>78</v>
      </c>
      <c r="R99" s="19" t="s">
        <v>78</v>
      </c>
      <c r="S99" s="20" t="s">
        <v>78</v>
      </c>
    </row>
    <row r="100" spans="1:19" x14ac:dyDescent="0.35">
      <c r="A100" s="82" t="s">
        <v>498</v>
      </c>
      <c r="B100" s="19">
        <v>1155640</v>
      </c>
      <c r="C100" s="19">
        <v>7000</v>
      </c>
      <c r="D100" s="19" t="s">
        <v>78</v>
      </c>
      <c r="E100" s="19" t="s">
        <v>78</v>
      </c>
      <c r="F100" s="19" t="s">
        <v>79</v>
      </c>
      <c r="G100" s="19" t="s">
        <v>78</v>
      </c>
      <c r="H100" s="19" t="s">
        <v>80</v>
      </c>
      <c r="I100" s="19" t="s">
        <v>78</v>
      </c>
      <c r="J100" s="19" t="s">
        <v>78</v>
      </c>
      <c r="K100" s="19" t="s">
        <v>78</v>
      </c>
      <c r="L100" s="19" t="s">
        <v>78</v>
      </c>
      <c r="M100" s="19" t="s">
        <v>78</v>
      </c>
      <c r="N100" s="19" t="s">
        <v>78</v>
      </c>
      <c r="O100" s="19"/>
      <c r="P100" s="19" t="s">
        <v>78</v>
      </c>
      <c r="Q100" s="19" t="s">
        <v>78</v>
      </c>
      <c r="R100" s="19" t="s">
        <v>78</v>
      </c>
      <c r="S100" s="20" t="s">
        <v>78</v>
      </c>
    </row>
    <row r="101" spans="1:19" x14ac:dyDescent="0.35">
      <c r="A101" s="82" t="s">
        <v>498</v>
      </c>
      <c r="B101" s="19">
        <v>387720</v>
      </c>
      <c r="C101" s="19">
        <v>11800</v>
      </c>
      <c r="D101" s="19" t="s">
        <v>78</v>
      </c>
      <c r="E101" s="19" t="s">
        <v>413</v>
      </c>
      <c r="F101" s="19" t="s">
        <v>83</v>
      </c>
      <c r="G101" s="19" t="s">
        <v>308</v>
      </c>
      <c r="H101" s="19" t="s">
        <v>80</v>
      </c>
      <c r="I101" s="19" t="s">
        <v>78</v>
      </c>
      <c r="J101" s="19" t="s">
        <v>78</v>
      </c>
      <c r="K101" s="19" t="s">
        <v>78</v>
      </c>
      <c r="L101" s="19" t="s">
        <v>78</v>
      </c>
      <c r="M101" s="19" t="s">
        <v>78</v>
      </c>
      <c r="N101" s="19" t="s">
        <v>78</v>
      </c>
      <c r="O101" s="19"/>
      <c r="P101" s="19" t="s">
        <v>78</v>
      </c>
      <c r="Q101" s="19" t="s">
        <v>78</v>
      </c>
      <c r="R101" s="19" t="s">
        <v>78</v>
      </c>
      <c r="S101" s="20" t="s">
        <v>78</v>
      </c>
    </row>
    <row r="102" spans="1:19" x14ac:dyDescent="0.35">
      <c r="A102" s="82" t="s">
        <v>498</v>
      </c>
      <c r="B102" s="19">
        <v>144760</v>
      </c>
      <c r="C102" s="19">
        <v>25720</v>
      </c>
      <c r="D102" s="19" t="s">
        <v>78</v>
      </c>
      <c r="E102" s="19" t="s">
        <v>78</v>
      </c>
      <c r="F102" s="19" t="s">
        <v>79</v>
      </c>
      <c r="G102" s="19" t="s">
        <v>78</v>
      </c>
      <c r="H102" s="19" t="s">
        <v>80</v>
      </c>
      <c r="I102" s="19" t="s">
        <v>78</v>
      </c>
      <c r="J102" s="19" t="s">
        <v>78</v>
      </c>
      <c r="K102" s="19" t="s">
        <v>78</v>
      </c>
      <c r="L102" s="19" t="s">
        <v>78</v>
      </c>
      <c r="M102" s="19" t="s">
        <v>78</v>
      </c>
      <c r="N102" s="19" t="s">
        <v>78</v>
      </c>
      <c r="O102" s="19" t="s">
        <v>78</v>
      </c>
      <c r="P102" s="19" t="s">
        <v>78</v>
      </c>
      <c r="Q102" s="19" t="s">
        <v>78</v>
      </c>
      <c r="R102" s="19" t="s">
        <v>78</v>
      </c>
      <c r="S102" s="20" t="s">
        <v>78</v>
      </c>
    </row>
    <row r="103" spans="1:19" x14ac:dyDescent="0.35">
      <c r="A103" s="81" t="s">
        <v>497</v>
      </c>
      <c r="B103" s="17">
        <v>1194600</v>
      </c>
      <c r="C103" s="17">
        <v>9080</v>
      </c>
      <c r="D103" s="17" t="s">
        <v>78</v>
      </c>
      <c r="E103" s="17" t="s">
        <v>413</v>
      </c>
      <c r="F103" s="17" t="s">
        <v>11</v>
      </c>
      <c r="G103" s="17" t="s">
        <v>303</v>
      </c>
      <c r="H103" s="17" t="s">
        <v>80</v>
      </c>
      <c r="I103" s="17" t="s">
        <v>78</v>
      </c>
      <c r="J103" s="17" t="s">
        <v>78</v>
      </c>
      <c r="K103" s="17" t="s">
        <v>78</v>
      </c>
      <c r="L103" s="17" t="s">
        <v>78</v>
      </c>
      <c r="M103" s="17" t="s">
        <v>78</v>
      </c>
      <c r="N103" s="17" t="s">
        <v>78</v>
      </c>
      <c r="O103" s="17"/>
      <c r="P103" s="17" t="s">
        <v>78</v>
      </c>
      <c r="Q103" s="17" t="s">
        <v>78</v>
      </c>
      <c r="R103" s="17" t="s">
        <v>78</v>
      </c>
      <c r="S103" s="18" t="s">
        <v>78</v>
      </c>
    </row>
    <row r="104" spans="1:19" x14ac:dyDescent="0.35">
      <c r="A104" s="82" t="s">
        <v>497</v>
      </c>
      <c r="B104" s="19">
        <v>413760</v>
      </c>
      <c r="C104" s="19">
        <v>15520</v>
      </c>
      <c r="D104" s="19" t="s">
        <v>78</v>
      </c>
      <c r="E104" s="19" t="s">
        <v>78</v>
      </c>
      <c r="F104" s="19" t="s">
        <v>13</v>
      </c>
      <c r="G104" s="19" t="s">
        <v>78</v>
      </c>
      <c r="H104" s="19" t="s">
        <v>80</v>
      </c>
      <c r="I104" s="19" t="s">
        <v>78</v>
      </c>
      <c r="J104" s="19" t="s">
        <v>78</v>
      </c>
      <c r="K104" s="19" t="s">
        <v>78</v>
      </c>
      <c r="L104" s="19" t="s">
        <v>78</v>
      </c>
      <c r="M104" s="19" t="s">
        <v>78</v>
      </c>
      <c r="N104" s="19" t="s">
        <v>78</v>
      </c>
      <c r="O104" s="19"/>
      <c r="P104" s="19" t="s">
        <v>78</v>
      </c>
      <c r="Q104" s="19" t="s">
        <v>78</v>
      </c>
      <c r="R104" s="19" t="s">
        <v>78</v>
      </c>
      <c r="S104" s="20" t="s">
        <v>78</v>
      </c>
    </row>
    <row r="105" spans="1:19" x14ac:dyDescent="0.35">
      <c r="A105" s="82" t="s">
        <v>497</v>
      </c>
      <c r="B105" s="19">
        <v>558640</v>
      </c>
      <c r="C105" s="19">
        <v>18840</v>
      </c>
      <c r="D105" s="19" t="s">
        <v>78</v>
      </c>
      <c r="E105" s="19" t="s">
        <v>413</v>
      </c>
      <c r="F105" s="19" t="s">
        <v>83</v>
      </c>
      <c r="G105" s="19" t="s">
        <v>304</v>
      </c>
      <c r="H105" s="19" t="s">
        <v>80</v>
      </c>
      <c r="I105" s="19" t="s">
        <v>78</v>
      </c>
      <c r="J105" s="19" t="s">
        <v>78</v>
      </c>
      <c r="K105" s="19" t="s">
        <v>78</v>
      </c>
      <c r="L105" s="19" t="s">
        <v>78</v>
      </c>
      <c r="M105" s="19" t="s">
        <v>78</v>
      </c>
      <c r="N105" s="19" t="s">
        <v>78</v>
      </c>
      <c r="O105" s="19" t="s">
        <v>78</v>
      </c>
      <c r="P105" s="19" t="s">
        <v>78</v>
      </c>
      <c r="Q105" s="19" t="s">
        <v>78</v>
      </c>
      <c r="R105" s="19" t="s">
        <v>78</v>
      </c>
      <c r="S105" s="20" t="s">
        <v>78</v>
      </c>
    </row>
    <row r="106" spans="1:19" x14ac:dyDescent="0.35">
      <c r="A106" s="82" t="s">
        <v>496</v>
      </c>
      <c r="B106" s="19">
        <v>1295840</v>
      </c>
      <c r="C106" s="19">
        <v>15480</v>
      </c>
      <c r="D106" s="19" t="s">
        <v>78</v>
      </c>
      <c r="E106" s="19" t="s">
        <v>413</v>
      </c>
      <c r="F106" s="19" t="s">
        <v>11</v>
      </c>
      <c r="G106" s="19" t="s">
        <v>297</v>
      </c>
      <c r="H106" s="19" t="s">
        <v>80</v>
      </c>
      <c r="I106" s="19" t="s">
        <v>78</v>
      </c>
      <c r="J106" s="19" t="s">
        <v>78</v>
      </c>
      <c r="K106" s="19" t="s">
        <v>78</v>
      </c>
      <c r="L106" s="19" t="s">
        <v>78</v>
      </c>
      <c r="M106" s="19" t="s">
        <v>78</v>
      </c>
      <c r="N106" s="19" t="s">
        <v>78</v>
      </c>
      <c r="O106" s="19"/>
      <c r="P106" s="19" t="s">
        <v>78</v>
      </c>
      <c r="Q106" s="19" t="s">
        <v>78</v>
      </c>
      <c r="R106" s="19" t="s">
        <v>78</v>
      </c>
      <c r="S106" s="20" t="s">
        <v>78</v>
      </c>
    </row>
    <row r="107" spans="1:19" x14ac:dyDescent="0.35">
      <c r="A107" s="82" t="s">
        <v>496</v>
      </c>
      <c r="B107" s="19">
        <v>437760</v>
      </c>
      <c r="C107" s="19">
        <v>7000</v>
      </c>
      <c r="D107" s="19" t="s">
        <v>78</v>
      </c>
      <c r="E107" s="19" t="s">
        <v>413</v>
      </c>
      <c r="F107" s="19" t="s">
        <v>83</v>
      </c>
      <c r="G107" s="19" t="s">
        <v>304</v>
      </c>
      <c r="H107" s="19" t="s">
        <v>80</v>
      </c>
      <c r="I107" s="19" t="s">
        <v>78</v>
      </c>
      <c r="J107" s="19" t="s">
        <v>78</v>
      </c>
      <c r="K107" s="19" t="s">
        <v>78</v>
      </c>
      <c r="L107" s="19" t="s">
        <v>78</v>
      </c>
      <c r="M107" s="19" t="s">
        <v>78</v>
      </c>
      <c r="N107" s="19" t="s">
        <v>78</v>
      </c>
      <c r="O107" s="19"/>
      <c r="P107" s="19" t="s">
        <v>78</v>
      </c>
      <c r="Q107" s="19" t="s">
        <v>78</v>
      </c>
      <c r="R107" s="19" t="s">
        <v>78</v>
      </c>
      <c r="S107" s="20" t="s">
        <v>78</v>
      </c>
    </row>
    <row r="108" spans="1:19" x14ac:dyDescent="0.35">
      <c r="A108" s="82" t="s">
        <v>496</v>
      </c>
      <c r="B108" s="19">
        <v>668840</v>
      </c>
      <c r="C108" s="19">
        <v>16000</v>
      </c>
      <c r="D108" s="19" t="s">
        <v>78</v>
      </c>
      <c r="E108" s="19" t="s">
        <v>78</v>
      </c>
      <c r="F108" s="19" t="s">
        <v>13</v>
      </c>
      <c r="G108" s="19" t="s">
        <v>78</v>
      </c>
      <c r="H108" s="19" t="s">
        <v>80</v>
      </c>
      <c r="I108" s="19" t="s">
        <v>78</v>
      </c>
      <c r="J108" s="19" t="s">
        <v>78</v>
      </c>
      <c r="K108" s="19" t="s">
        <v>78</v>
      </c>
      <c r="L108" s="19" t="s">
        <v>78</v>
      </c>
      <c r="M108" s="19" t="s">
        <v>78</v>
      </c>
      <c r="N108" s="19" t="s">
        <v>78</v>
      </c>
      <c r="O108" s="19" t="s">
        <v>78</v>
      </c>
      <c r="P108" s="19" t="s">
        <v>78</v>
      </c>
      <c r="Q108" s="19" t="s">
        <v>78</v>
      </c>
      <c r="R108" s="19" t="s">
        <v>78</v>
      </c>
      <c r="S108" s="20" t="s">
        <v>78</v>
      </c>
    </row>
    <row r="109" spans="1:19" x14ac:dyDescent="0.35">
      <c r="A109" s="82" t="s">
        <v>570</v>
      </c>
      <c r="B109" s="19">
        <v>463480</v>
      </c>
      <c r="C109" s="19">
        <v>15800</v>
      </c>
      <c r="D109" s="19" t="s">
        <v>78</v>
      </c>
      <c r="E109" s="19" t="s">
        <v>413</v>
      </c>
      <c r="F109" s="19" t="s">
        <v>11</v>
      </c>
      <c r="G109" s="19" t="s">
        <v>297</v>
      </c>
      <c r="H109" s="19" t="s">
        <v>80</v>
      </c>
      <c r="I109" s="19" t="s">
        <v>78</v>
      </c>
      <c r="J109" s="19" t="s">
        <v>78</v>
      </c>
      <c r="K109" s="19" t="s">
        <v>78</v>
      </c>
      <c r="L109" s="19" t="s">
        <v>78</v>
      </c>
      <c r="M109" s="19" t="s">
        <v>78</v>
      </c>
      <c r="N109" s="19" t="s">
        <v>78</v>
      </c>
      <c r="O109" s="19"/>
      <c r="P109" s="19" t="s">
        <v>78</v>
      </c>
      <c r="Q109" s="19" t="s">
        <v>78</v>
      </c>
      <c r="R109" s="19" t="s">
        <v>78</v>
      </c>
      <c r="S109" s="20" t="s">
        <v>78</v>
      </c>
    </row>
    <row r="110" spans="1:19" x14ac:dyDescent="0.35">
      <c r="A110" s="82" t="s">
        <v>570</v>
      </c>
      <c r="B110" s="19">
        <v>690560</v>
      </c>
      <c r="C110" s="19">
        <v>10360</v>
      </c>
      <c r="D110" s="19" t="s">
        <v>78</v>
      </c>
      <c r="E110" s="19" t="s">
        <v>78</v>
      </c>
      <c r="F110" s="19" t="s">
        <v>13</v>
      </c>
      <c r="G110" s="19" t="s">
        <v>78</v>
      </c>
      <c r="H110" s="19" t="s">
        <v>80</v>
      </c>
      <c r="I110" s="19" t="s">
        <v>78</v>
      </c>
      <c r="J110" s="19" t="s">
        <v>78</v>
      </c>
      <c r="K110" s="19" t="s">
        <v>78</v>
      </c>
      <c r="L110" s="19" t="s">
        <v>78</v>
      </c>
      <c r="M110" s="19" t="s">
        <v>78</v>
      </c>
      <c r="N110" s="19" t="s">
        <v>78</v>
      </c>
      <c r="O110" s="19" t="s">
        <v>78</v>
      </c>
      <c r="P110" s="19" t="s">
        <v>78</v>
      </c>
      <c r="Q110" s="19" t="s">
        <v>78</v>
      </c>
      <c r="R110" s="19" t="s">
        <v>78</v>
      </c>
      <c r="S110" s="20" t="s">
        <v>78</v>
      </c>
    </row>
    <row r="111" spans="1:19" x14ac:dyDescent="0.35">
      <c r="A111" s="82" t="s">
        <v>577</v>
      </c>
      <c r="B111" s="19">
        <v>509520</v>
      </c>
      <c r="C111" s="19">
        <v>7000</v>
      </c>
      <c r="D111" s="19" t="s">
        <v>78</v>
      </c>
      <c r="E111" s="19" t="s">
        <v>78</v>
      </c>
      <c r="F111" s="19" t="s">
        <v>79</v>
      </c>
      <c r="G111" s="19" t="s">
        <v>78</v>
      </c>
      <c r="H111" s="19" t="s">
        <v>80</v>
      </c>
      <c r="I111" s="19" t="s">
        <v>78</v>
      </c>
      <c r="J111" s="19" t="s">
        <v>78</v>
      </c>
      <c r="K111" s="19" t="s">
        <v>78</v>
      </c>
      <c r="L111" s="19" t="s">
        <v>78</v>
      </c>
      <c r="M111" s="19" t="s">
        <v>78</v>
      </c>
      <c r="N111" s="19" t="s">
        <v>78</v>
      </c>
      <c r="O111" s="19"/>
      <c r="P111" s="19" t="s">
        <v>78</v>
      </c>
      <c r="Q111" s="19" t="s">
        <v>78</v>
      </c>
      <c r="R111" s="19" t="s">
        <v>78</v>
      </c>
      <c r="S111" s="20" t="s">
        <v>78</v>
      </c>
    </row>
    <row r="112" spans="1:19" x14ac:dyDescent="0.35">
      <c r="A112" s="82" t="s">
        <v>577</v>
      </c>
      <c r="B112" s="19">
        <v>703400</v>
      </c>
      <c r="C112" s="19">
        <v>16560</v>
      </c>
      <c r="D112" s="19" t="s">
        <v>78</v>
      </c>
      <c r="E112" s="19" t="s">
        <v>78</v>
      </c>
      <c r="F112" s="19" t="s">
        <v>79</v>
      </c>
      <c r="G112" s="19" t="s">
        <v>78</v>
      </c>
      <c r="H112" s="19" t="s">
        <v>80</v>
      </c>
      <c r="I112" s="19" t="s">
        <v>78</v>
      </c>
      <c r="J112" s="19" t="s">
        <v>78</v>
      </c>
      <c r="K112" s="19" t="s">
        <v>78</v>
      </c>
      <c r="L112" s="19" t="s">
        <v>78</v>
      </c>
      <c r="M112" s="19" t="s">
        <v>78</v>
      </c>
      <c r="N112" s="19" t="s">
        <v>78</v>
      </c>
      <c r="O112" s="19" t="s">
        <v>78</v>
      </c>
      <c r="P112" s="19" t="s">
        <v>78</v>
      </c>
      <c r="Q112" s="19" t="s">
        <v>78</v>
      </c>
      <c r="R112" s="19" t="s">
        <v>78</v>
      </c>
      <c r="S112" s="20" t="s">
        <v>78</v>
      </c>
    </row>
    <row r="113" spans="1:19" x14ac:dyDescent="0.35">
      <c r="A113" s="81" t="s">
        <v>571</v>
      </c>
      <c r="B113" s="17">
        <v>544960</v>
      </c>
      <c r="C113" s="17">
        <v>12200</v>
      </c>
      <c r="D113" s="17" t="s">
        <v>78</v>
      </c>
      <c r="E113" s="17" t="s">
        <v>413</v>
      </c>
      <c r="F113" s="17" t="s">
        <v>11</v>
      </c>
      <c r="G113" s="17" t="s">
        <v>17</v>
      </c>
      <c r="H113" s="17" t="s">
        <v>80</v>
      </c>
      <c r="I113" s="17" t="s">
        <v>78</v>
      </c>
      <c r="J113" s="17" t="s">
        <v>78</v>
      </c>
      <c r="K113" s="17" t="s">
        <v>78</v>
      </c>
      <c r="L113" s="17" t="s">
        <v>78</v>
      </c>
      <c r="M113" s="17" t="s">
        <v>78</v>
      </c>
      <c r="N113" s="17" t="s">
        <v>78</v>
      </c>
      <c r="O113" s="17"/>
      <c r="P113" s="17" t="s">
        <v>78</v>
      </c>
      <c r="Q113" s="17" t="s">
        <v>78</v>
      </c>
      <c r="R113" s="17" t="s">
        <v>78</v>
      </c>
      <c r="S113" s="18" t="s">
        <v>78</v>
      </c>
    </row>
    <row r="114" spans="1:19" x14ac:dyDescent="0.35">
      <c r="A114" s="82" t="s">
        <v>571</v>
      </c>
      <c r="B114" s="19">
        <v>958600</v>
      </c>
      <c r="C114" s="19">
        <v>30960</v>
      </c>
      <c r="D114" s="19" t="s">
        <v>78</v>
      </c>
      <c r="E114" s="19" t="s">
        <v>413</v>
      </c>
      <c r="F114" s="19" t="s">
        <v>10</v>
      </c>
      <c r="G114" s="19" t="s">
        <v>17</v>
      </c>
      <c r="H114" s="19" t="s">
        <v>80</v>
      </c>
      <c r="I114" s="19" t="s">
        <v>78</v>
      </c>
      <c r="J114" s="19" t="s">
        <v>78</v>
      </c>
      <c r="K114" s="19" t="s">
        <v>78</v>
      </c>
      <c r="L114" s="19" t="s">
        <v>78</v>
      </c>
      <c r="M114" s="19" t="s">
        <v>78</v>
      </c>
      <c r="N114" s="19" t="s">
        <v>78</v>
      </c>
      <c r="O114" s="19" t="s">
        <v>78</v>
      </c>
      <c r="P114" s="19" t="s">
        <v>78</v>
      </c>
      <c r="Q114" s="19" t="s">
        <v>78</v>
      </c>
      <c r="R114" s="19" t="s">
        <v>78</v>
      </c>
      <c r="S114" s="20" t="s">
        <v>78</v>
      </c>
    </row>
    <row r="115" spans="1:19" x14ac:dyDescent="0.35">
      <c r="A115" s="82" t="s">
        <v>673</v>
      </c>
      <c r="B115" s="19">
        <v>1054080</v>
      </c>
      <c r="C115" s="19">
        <v>17600</v>
      </c>
      <c r="D115" s="19" t="s">
        <v>78</v>
      </c>
      <c r="E115" s="19" t="s">
        <v>413</v>
      </c>
      <c r="F115" s="19" t="s">
        <v>11</v>
      </c>
      <c r="G115" s="19" t="s">
        <v>17</v>
      </c>
      <c r="H115" s="19" t="s">
        <v>80</v>
      </c>
      <c r="I115" s="19" t="s">
        <v>78</v>
      </c>
      <c r="J115" s="19" t="s">
        <v>78</v>
      </c>
      <c r="K115" s="19" t="s">
        <v>78</v>
      </c>
      <c r="L115" s="19" t="s">
        <v>78</v>
      </c>
      <c r="M115" s="19" t="s">
        <v>78</v>
      </c>
      <c r="N115" s="19" t="s">
        <v>78</v>
      </c>
      <c r="O115" s="19" t="s">
        <v>78</v>
      </c>
      <c r="P115" s="19" t="s">
        <v>78</v>
      </c>
      <c r="Q115" s="19" t="s">
        <v>78</v>
      </c>
      <c r="R115" s="19" t="s">
        <v>78</v>
      </c>
      <c r="S115" s="20" t="s">
        <v>78</v>
      </c>
    </row>
    <row r="116" spans="1:19" x14ac:dyDescent="0.35">
      <c r="A116" s="82" t="s">
        <v>672</v>
      </c>
      <c r="B116" s="19">
        <v>1132360</v>
      </c>
      <c r="C116" s="19">
        <v>15600</v>
      </c>
      <c r="D116" s="19" t="s">
        <v>78</v>
      </c>
      <c r="E116" s="19" t="s">
        <v>78</v>
      </c>
      <c r="F116" s="19" t="s">
        <v>13</v>
      </c>
      <c r="G116" s="19" t="s">
        <v>78</v>
      </c>
      <c r="H116" s="19" t="s">
        <v>80</v>
      </c>
      <c r="I116" s="19" t="s">
        <v>78</v>
      </c>
      <c r="J116" s="19" t="s">
        <v>78</v>
      </c>
      <c r="K116" s="19" t="s">
        <v>78</v>
      </c>
      <c r="L116" s="19" t="s">
        <v>78</v>
      </c>
      <c r="M116" s="19" t="s">
        <v>78</v>
      </c>
      <c r="N116" s="19" t="s">
        <v>78</v>
      </c>
      <c r="O116" s="19" t="s">
        <v>78</v>
      </c>
      <c r="P116" s="19" t="s">
        <v>78</v>
      </c>
      <c r="Q116" s="19" t="s">
        <v>78</v>
      </c>
      <c r="R116" s="19" t="s">
        <v>78</v>
      </c>
      <c r="S116" s="20" t="s">
        <v>78</v>
      </c>
    </row>
    <row r="117" spans="1:19" x14ac:dyDescent="0.35">
      <c r="A117" s="82" t="s">
        <v>671</v>
      </c>
      <c r="B117" s="19">
        <v>1144560</v>
      </c>
      <c r="C117" s="19">
        <v>26520</v>
      </c>
      <c r="D117" s="19" t="s">
        <v>78</v>
      </c>
      <c r="E117" s="19" t="s">
        <v>413</v>
      </c>
      <c r="F117" s="19" t="s">
        <v>11</v>
      </c>
      <c r="G117" s="19" t="s">
        <v>303</v>
      </c>
      <c r="H117" s="19" t="s">
        <v>80</v>
      </c>
      <c r="I117" s="19" t="s">
        <v>78</v>
      </c>
      <c r="J117" s="19" t="s">
        <v>78</v>
      </c>
      <c r="K117" s="19" t="s">
        <v>78</v>
      </c>
      <c r="L117" s="19" t="s">
        <v>78</v>
      </c>
      <c r="M117" s="19" t="s">
        <v>78</v>
      </c>
      <c r="N117" s="19" t="s">
        <v>78</v>
      </c>
      <c r="O117" s="19" t="s">
        <v>78</v>
      </c>
      <c r="P117" s="19" t="s">
        <v>78</v>
      </c>
      <c r="Q117" s="19" t="s">
        <v>78</v>
      </c>
      <c r="R117" s="19" t="s">
        <v>78</v>
      </c>
      <c r="S117" s="20" t="s">
        <v>78</v>
      </c>
    </row>
    <row r="118" spans="1:19" x14ac:dyDescent="0.35">
      <c r="A118" s="82" t="s">
        <v>670</v>
      </c>
      <c r="B118" s="19">
        <v>1244760</v>
      </c>
      <c r="C118" s="19">
        <v>15960</v>
      </c>
      <c r="D118" s="19" t="s">
        <v>78</v>
      </c>
      <c r="E118" s="19" t="s">
        <v>78</v>
      </c>
      <c r="F118" s="19" t="s">
        <v>13</v>
      </c>
      <c r="G118" s="19" t="s">
        <v>78</v>
      </c>
      <c r="H118" s="19" t="s">
        <v>80</v>
      </c>
      <c r="I118" s="19" t="s">
        <v>78</v>
      </c>
      <c r="J118" s="19" t="s">
        <v>78</v>
      </c>
      <c r="K118" s="19" t="s">
        <v>78</v>
      </c>
      <c r="L118" s="19" t="s">
        <v>78</v>
      </c>
      <c r="M118" s="19" t="s">
        <v>78</v>
      </c>
      <c r="N118" s="19" t="s">
        <v>78</v>
      </c>
      <c r="O118" s="19" t="s">
        <v>78</v>
      </c>
      <c r="P118" s="19" t="s">
        <v>78</v>
      </c>
      <c r="Q118" s="19" t="s">
        <v>78</v>
      </c>
      <c r="R118" s="19" t="s">
        <v>78</v>
      </c>
      <c r="S118" s="20" t="s">
        <v>78</v>
      </c>
    </row>
    <row r="119" spans="1:19" x14ac:dyDescent="0.35">
      <c r="A119" s="82" t="s">
        <v>89</v>
      </c>
      <c r="B119" s="19">
        <v>618880</v>
      </c>
      <c r="C119" s="19">
        <v>15640</v>
      </c>
      <c r="D119" s="19" t="s">
        <v>78</v>
      </c>
      <c r="E119" s="19" t="s">
        <v>343</v>
      </c>
      <c r="F119" s="19" t="s">
        <v>11</v>
      </c>
      <c r="G119" s="19" t="s">
        <v>282</v>
      </c>
      <c r="H119" s="19" t="s">
        <v>80</v>
      </c>
      <c r="I119" s="19" t="s">
        <v>78</v>
      </c>
      <c r="J119" s="19" t="s">
        <v>78</v>
      </c>
      <c r="K119" s="19" t="s">
        <v>78</v>
      </c>
      <c r="L119" s="19" t="s">
        <v>78</v>
      </c>
      <c r="M119" s="19" t="s">
        <v>78</v>
      </c>
      <c r="N119" s="19" t="s">
        <v>78</v>
      </c>
      <c r="O119" s="19"/>
      <c r="P119" s="19" t="s">
        <v>78</v>
      </c>
      <c r="Q119" s="19" t="s">
        <v>78</v>
      </c>
      <c r="R119" s="19" t="s">
        <v>78</v>
      </c>
      <c r="S119" s="20" t="s">
        <v>78</v>
      </c>
    </row>
    <row r="120" spans="1:19" x14ac:dyDescent="0.35">
      <c r="A120" s="82" t="s">
        <v>89</v>
      </c>
      <c r="B120" s="19">
        <v>282800</v>
      </c>
      <c r="C120" s="19">
        <v>16640</v>
      </c>
      <c r="D120" s="19" t="s">
        <v>78</v>
      </c>
      <c r="E120" s="19" t="s">
        <v>343</v>
      </c>
      <c r="F120" s="19" t="s">
        <v>11</v>
      </c>
      <c r="G120" s="19" t="s">
        <v>283</v>
      </c>
      <c r="H120" s="19" t="s">
        <v>80</v>
      </c>
      <c r="I120" s="19" t="s">
        <v>78</v>
      </c>
      <c r="J120" s="19" t="s">
        <v>78</v>
      </c>
      <c r="K120" s="19" t="s">
        <v>78</v>
      </c>
      <c r="L120" s="19" t="s">
        <v>78</v>
      </c>
      <c r="M120" s="19" t="s">
        <v>78</v>
      </c>
      <c r="N120" s="19" t="s">
        <v>78</v>
      </c>
      <c r="O120" s="19"/>
      <c r="P120" s="19" t="s">
        <v>78</v>
      </c>
      <c r="Q120" s="19" t="s">
        <v>78</v>
      </c>
      <c r="R120" s="19" t="s">
        <v>78</v>
      </c>
      <c r="S120" s="20" t="s">
        <v>78</v>
      </c>
    </row>
    <row r="121" spans="1:19" x14ac:dyDescent="0.35">
      <c r="A121" s="82" t="s">
        <v>89</v>
      </c>
      <c r="B121" s="19">
        <v>767880</v>
      </c>
      <c r="C121" s="19">
        <v>7000</v>
      </c>
      <c r="D121" s="19" t="s">
        <v>78</v>
      </c>
      <c r="E121" s="19" t="s">
        <v>78</v>
      </c>
      <c r="F121" s="19" t="s">
        <v>13</v>
      </c>
      <c r="G121" s="19" t="s">
        <v>78</v>
      </c>
      <c r="H121" s="19" t="s">
        <v>80</v>
      </c>
      <c r="I121" s="19" t="s">
        <v>78</v>
      </c>
      <c r="J121" s="19" t="s">
        <v>78</v>
      </c>
      <c r="K121" s="19" t="s">
        <v>78</v>
      </c>
      <c r="L121" s="19" t="s">
        <v>78</v>
      </c>
      <c r="M121" s="19" t="s">
        <v>78</v>
      </c>
      <c r="N121" s="19" t="s">
        <v>78</v>
      </c>
      <c r="O121" s="19"/>
      <c r="P121" s="19" t="s">
        <v>78</v>
      </c>
      <c r="Q121" s="19" t="s">
        <v>78</v>
      </c>
      <c r="R121" s="19" t="s">
        <v>78</v>
      </c>
      <c r="S121" s="20" t="s">
        <v>78</v>
      </c>
    </row>
    <row r="122" spans="1:19" x14ac:dyDescent="0.35">
      <c r="A122" s="82" t="s">
        <v>89</v>
      </c>
      <c r="B122" s="19">
        <v>355440</v>
      </c>
      <c r="C122" s="19">
        <v>13560</v>
      </c>
      <c r="D122" s="19" t="s">
        <v>78</v>
      </c>
      <c r="E122" s="19" t="s">
        <v>413</v>
      </c>
      <c r="F122" s="19" t="s">
        <v>11</v>
      </c>
      <c r="G122" s="19" t="s">
        <v>17</v>
      </c>
      <c r="H122" s="19" t="s">
        <v>80</v>
      </c>
      <c r="I122" s="19" t="s">
        <v>78</v>
      </c>
      <c r="J122" s="19" t="s">
        <v>78</v>
      </c>
      <c r="K122" s="19" t="s">
        <v>78</v>
      </c>
      <c r="L122" s="19" t="s">
        <v>78</v>
      </c>
      <c r="M122" s="19" t="s">
        <v>78</v>
      </c>
      <c r="N122" s="19" t="s">
        <v>78</v>
      </c>
      <c r="O122" s="19"/>
      <c r="P122" s="19" t="s">
        <v>78</v>
      </c>
      <c r="Q122" s="19" t="s">
        <v>78</v>
      </c>
      <c r="R122" s="19" t="s">
        <v>78</v>
      </c>
      <c r="S122" s="20" t="s">
        <v>78</v>
      </c>
    </row>
    <row r="123" spans="1:19" x14ac:dyDescent="0.35">
      <c r="A123" s="82" t="s">
        <v>89</v>
      </c>
      <c r="B123" s="19">
        <v>538680</v>
      </c>
      <c r="C123" s="19">
        <v>16240</v>
      </c>
      <c r="D123" s="19" t="s">
        <v>78</v>
      </c>
      <c r="E123" s="19" t="s">
        <v>343</v>
      </c>
      <c r="F123" s="19" t="s">
        <v>11</v>
      </c>
      <c r="G123" s="19" t="s">
        <v>15</v>
      </c>
      <c r="H123" s="19" t="s">
        <v>80</v>
      </c>
      <c r="I123" s="19" t="s">
        <v>78</v>
      </c>
      <c r="J123" s="19" t="s">
        <v>78</v>
      </c>
      <c r="K123" s="19" t="s">
        <v>78</v>
      </c>
      <c r="L123" s="19" t="s">
        <v>78</v>
      </c>
      <c r="M123" s="19" t="s">
        <v>78</v>
      </c>
      <c r="N123" s="19" t="s">
        <v>78</v>
      </c>
      <c r="O123" s="19" t="s">
        <v>78</v>
      </c>
      <c r="P123" s="19" t="s">
        <v>78</v>
      </c>
      <c r="Q123" s="19" t="s">
        <v>78</v>
      </c>
      <c r="R123" s="19" t="s">
        <v>78</v>
      </c>
      <c r="S123" s="20" t="s">
        <v>78</v>
      </c>
    </row>
    <row r="124" spans="1:19" x14ac:dyDescent="0.35">
      <c r="A124" s="82" t="s">
        <v>669</v>
      </c>
      <c r="B124" s="19">
        <v>1269400</v>
      </c>
      <c r="C124" s="19">
        <v>10320</v>
      </c>
      <c r="D124" s="19" t="s">
        <v>78</v>
      </c>
      <c r="E124" s="19" t="s">
        <v>413</v>
      </c>
      <c r="F124" s="19" t="s">
        <v>11</v>
      </c>
      <c r="G124" s="19" t="s">
        <v>308</v>
      </c>
      <c r="H124" s="19" t="s">
        <v>80</v>
      </c>
      <c r="I124" s="19" t="s">
        <v>78</v>
      </c>
      <c r="J124" s="19" t="s">
        <v>78</v>
      </c>
      <c r="K124" s="19" t="s">
        <v>78</v>
      </c>
      <c r="L124" s="19" t="s">
        <v>78</v>
      </c>
      <c r="M124" s="19" t="s">
        <v>78</v>
      </c>
      <c r="N124" s="19" t="s">
        <v>78</v>
      </c>
      <c r="O124" s="19" t="s">
        <v>78</v>
      </c>
      <c r="P124" s="19" t="s">
        <v>78</v>
      </c>
      <c r="Q124" s="19" t="s">
        <v>78</v>
      </c>
      <c r="R124" s="19" t="s">
        <v>78</v>
      </c>
      <c r="S124" s="20" t="s">
        <v>78</v>
      </c>
    </row>
    <row r="125" spans="1:19" x14ac:dyDescent="0.35">
      <c r="A125" s="82" t="s">
        <v>668</v>
      </c>
      <c r="B125" s="19">
        <v>1530920</v>
      </c>
      <c r="C125" s="19">
        <v>15880</v>
      </c>
      <c r="D125" s="19" t="s">
        <v>78</v>
      </c>
      <c r="E125" s="19" t="s">
        <v>78</v>
      </c>
      <c r="F125" s="19" t="s">
        <v>79</v>
      </c>
      <c r="G125" s="19" t="s">
        <v>78</v>
      </c>
      <c r="H125" s="19" t="s">
        <v>80</v>
      </c>
      <c r="I125" s="19" t="s">
        <v>78</v>
      </c>
      <c r="J125" s="19" t="s">
        <v>78</v>
      </c>
      <c r="K125" s="19" t="s">
        <v>78</v>
      </c>
      <c r="L125" s="19" t="s">
        <v>78</v>
      </c>
      <c r="M125" s="19" t="s">
        <v>78</v>
      </c>
      <c r="N125" s="19" t="s">
        <v>78</v>
      </c>
      <c r="O125" s="19" t="s">
        <v>78</v>
      </c>
      <c r="P125" s="19" t="s">
        <v>78</v>
      </c>
      <c r="Q125" s="19" t="s">
        <v>78</v>
      </c>
      <c r="R125" s="19" t="s">
        <v>78</v>
      </c>
      <c r="S125" s="20" t="s">
        <v>78</v>
      </c>
    </row>
    <row r="126" spans="1:19" x14ac:dyDescent="0.35">
      <c r="A126" s="82" t="s">
        <v>667</v>
      </c>
      <c r="B126" s="19">
        <v>1666240</v>
      </c>
      <c r="C126" s="19">
        <v>22720</v>
      </c>
      <c r="D126" s="19" t="s">
        <v>78</v>
      </c>
      <c r="E126" s="19" t="s">
        <v>413</v>
      </c>
      <c r="F126" s="19" t="s">
        <v>10</v>
      </c>
      <c r="G126" s="19" t="s">
        <v>283</v>
      </c>
      <c r="H126" s="19" t="s">
        <v>80</v>
      </c>
      <c r="I126" s="19" t="s">
        <v>78</v>
      </c>
      <c r="J126" s="19" t="s">
        <v>78</v>
      </c>
      <c r="K126" s="19" t="s">
        <v>78</v>
      </c>
      <c r="L126" s="19" t="s">
        <v>78</v>
      </c>
      <c r="M126" s="19" t="s">
        <v>78</v>
      </c>
      <c r="N126" s="19" t="s">
        <v>78</v>
      </c>
      <c r="O126" s="19" t="s">
        <v>78</v>
      </c>
      <c r="P126" s="19" t="s">
        <v>78</v>
      </c>
      <c r="Q126" s="19" t="s">
        <v>78</v>
      </c>
      <c r="R126" s="19" t="s">
        <v>78</v>
      </c>
      <c r="S126" s="20" t="s">
        <v>78</v>
      </c>
    </row>
    <row r="127" spans="1:19" x14ac:dyDescent="0.35">
      <c r="A127" s="82" t="s">
        <v>666</v>
      </c>
      <c r="B127" s="19">
        <v>1743040</v>
      </c>
      <c r="C127" s="19">
        <v>14440</v>
      </c>
      <c r="D127" s="19" t="s">
        <v>78</v>
      </c>
      <c r="E127" s="19" t="s">
        <v>78</v>
      </c>
      <c r="F127" s="19" t="s">
        <v>79</v>
      </c>
      <c r="G127" s="19" t="s">
        <v>78</v>
      </c>
      <c r="H127" s="19" t="s">
        <v>80</v>
      </c>
      <c r="I127" s="19" t="s">
        <v>78</v>
      </c>
      <c r="J127" s="19" t="s">
        <v>78</v>
      </c>
      <c r="K127" s="19" t="s">
        <v>78</v>
      </c>
      <c r="L127" s="19" t="s">
        <v>78</v>
      </c>
      <c r="M127" s="19" t="s">
        <v>78</v>
      </c>
      <c r="N127" s="19" t="s">
        <v>78</v>
      </c>
      <c r="O127" s="19" t="s">
        <v>78</v>
      </c>
      <c r="P127" s="19" t="s">
        <v>78</v>
      </c>
      <c r="Q127" s="19" t="s">
        <v>78</v>
      </c>
      <c r="R127" s="19" t="s">
        <v>78</v>
      </c>
      <c r="S127" s="20" t="s">
        <v>78</v>
      </c>
    </row>
    <row r="128" spans="1:19" x14ac:dyDescent="0.35">
      <c r="A128" s="82" t="s">
        <v>665</v>
      </c>
      <c r="B128" s="19">
        <v>1774760</v>
      </c>
      <c r="C128" s="19">
        <v>17760</v>
      </c>
      <c r="D128" s="19" t="s">
        <v>78</v>
      </c>
      <c r="E128" s="19" t="s">
        <v>413</v>
      </c>
      <c r="F128" s="19" t="s">
        <v>83</v>
      </c>
      <c r="G128" s="19" t="s">
        <v>307</v>
      </c>
      <c r="H128" s="19" t="s">
        <v>80</v>
      </c>
      <c r="I128" s="19" t="s">
        <v>78</v>
      </c>
      <c r="J128" s="19" t="s">
        <v>78</v>
      </c>
      <c r="K128" s="19" t="s">
        <v>78</v>
      </c>
      <c r="L128" s="19" t="s">
        <v>78</v>
      </c>
      <c r="M128" s="19" t="s">
        <v>78</v>
      </c>
      <c r="N128" s="19" t="s">
        <v>78</v>
      </c>
      <c r="O128" s="19" t="s">
        <v>78</v>
      </c>
      <c r="P128" s="19" t="s">
        <v>78</v>
      </c>
      <c r="Q128" s="19" t="s">
        <v>78</v>
      </c>
      <c r="R128" s="19" t="s">
        <v>78</v>
      </c>
      <c r="S128" s="20" t="s">
        <v>78</v>
      </c>
    </row>
    <row r="129" spans="1:19" x14ac:dyDescent="0.35">
      <c r="A129" s="82" t="s">
        <v>664</v>
      </c>
      <c r="B129" s="19">
        <v>86240</v>
      </c>
      <c r="C129" s="19">
        <v>11320</v>
      </c>
      <c r="D129" s="19" t="s">
        <v>78</v>
      </c>
      <c r="E129" s="19" t="s">
        <v>413</v>
      </c>
      <c r="F129" s="19" t="s">
        <v>11</v>
      </c>
      <c r="G129" s="19" t="s">
        <v>15</v>
      </c>
      <c r="H129" s="19" t="s">
        <v>80</v>
      </c>
      <c r="I129" s="19" t="s">
        <v>78</v>
      </c>
      <c r="J129" s="19" t="s">
        <v>78</v>
      </c>
      <c r="K129" s="19" t="s">
        <v>78</v>
      </c>
      <c r="L129" s="19" t="s">
        <v>78</v>
      </c>
      <c r="M129" s="19" t="s">
        <v>78</v>
      </c>
      <c r="N129" s="19" t="s">
        <v>78</v>
      </c>
      <c r="O129" s="19" t="s">
        <v>78</v>
      </c>
      <c r="P129" s="19" t="s">
        <v>78</v>
      </c>
      <c r="Q129" s="19" t="s">
        <v>78</v>
      </c>
      <c r="R129" s="19" t="s">
        <v>78</v>
      </c>
      <c r="S129" s="20" t="s">
        <v>78</v>
      </c>
    </row>
    <row r="130" spans="1:19" x14ac:dyDescent="0.35">
      <c r="A130" s="82" t="s">
        <v>663</v>
      </c>
      <c r="B130" s="19">
        <v>151560</v>
      </c>
      <c r="C130" s="19">
        <v>10440</v>
      </c>
      <c r="D130" s="19" t="s">
        <v>78</v>
      </c>
      <c r="E130" s="19" t="s">
        <v>413</v>
      </c>
      <c r="F130" s="19" t="s">
        <v>10</v>
      </c>
      <c r="G130" s="19" t="s">
        <v>307</v>
      </c>
      <c r="H130" s="19" t="s">
        <v>80</v>
      </c>
      <c r="I130" s="19" t="s">
        <v>78</v>
      </c>
      <c r="J130" s="19" t="s">
        <v>78</v>
      </c>
      <c r="K130" s="19" t="s">
        <v>78</v>
      </c>
      <c r="L130" s="19" t="s">
        <v>78</v>
      </c>
      <c r="M130" s="19" t="s">
        <v>78</v>
      </c>
      <c r="N130" s="19" t="s">
        <v>78</v>
      </c>
      <c r="O130" s="19" t="s">
        <v>78</v>
      </c>
      <c r="P130" s="19" t="s">
        <v>78</v>
      </c>
      <c r="Q130" s="19" t="s">
        <v>78</v>
      </c>
      <c r="R130" s="19" t="s">
        <v>78</v>
      </c>
      <c r="S130" s="20" t="s">
        <v>78</v>
      </c>
    </row>
    <row r="131" spans="1:19" x14ac:dyDescent="0.35">
      <c r="A131" s="82" t="s">
        <v>662</v>
      </c>
      <c r="B131" s="19">
        <v>190720</v>
      </c>
      <c r="C131" s="19">
        <v>13720</v>
      </c>
      <c r="D131" s="19" t="s">
        <v>78</v>
      </c>
      <c r="E131" s="19" t="s">
        <v>78</v>
      </c>
      <c r="F131" s="19" t="s">
        <v>13</v>
      </c>
      <c r="G131" s="19" t="s">
        <v>78</v>
      </c>
      <c r="H131" s="19" t="s">
        <v>80</v>
      </c>
      <c r="I131" s="19" t="s">
        <v>78</v>
      </c>
      <c r="J131" s="19" t="s">
        <v>78</v>
      </c>
      <c r="K131" s="19" t="s">
        <v>78</v>
      </c>
      <c r="L131" s="19" t="s">
        <v>78</v>
      </c>
      <c r="M131" s="19" t="s">
        <v>78</v>
      </c>
      <c r="N131" s="19" t="s">
        <v>78</v>
      </c>
      <c r="O131" s="19" t="s">
        <v>78</v>
      </c>
      <c r="P131" s="19" t="s">
        <v>78</v>
      </c>
      <c r="Q131" s="19" t="s">
        <v>78</v>
      </c>
      <c r="R131" s="19" t="s">
        <v>78</v>
      </c>
      <c r="S131" s="20" t="s">
        <v>78</v>
      </c>
    </row>
    <row r="132" spans="1:19" x14ac:dyDescent="0.35">
      <c r="A132" s="82" t="s">
        <v>661</v>
      </c>
      <c r="B132" s="19">
        <v>205480</v>
      </c>
      <c r="C132" s="19">
        <v>15160</v>
      </c>
      <c r="D132" s="19" t="s">
        <v>78</v>
      </c>
      <c r="E132" s="19" t="s">
        <v>413</v>
      </c>
      <c r="F132" s="19" t="s">
        <v>11</v>
      </c>
      <c r="G132" s="19" t="s">
        <v>301</v>
      </c>
      <c r="H132" s="19" t="s">
        <v>80</v>
      </c>
      <c r="I132" s="19" t="s">
        <v>78</v>
      </c>
      <c r="J132" s="19" t="s">
        <v>78</v>
      </c>
      <c r="K132" s="19" t="s">
        <v>78</v>
      </c>
      <c r="L132" s="19" t="s">
        <v>78</v>
      </c>
      <c r="M132" s="19" t="s">
        <v>78</v>
      </c>
      <c r="N132" s="19" t="s">
        <v>78</v>
      </c>
      <c r="O132" s="19" t="s">
        <v>78</v>
      </c>
      <c r="P132" s="19" t="s">
        <v>78</v>
      </c>
      <c r="Q132" s="19" t="s">
        <v>78</v>
      </c>
      <c r="R132" s="19" t="s">
        <v>78</v>
      </c>
      <c r="S132" s="20" t="s">
        <v>78</v>
      </c>
    </row>
    <row r="133" spans="1:19" x14ac:dyDescent="0.35">
      <c r="A133" s="82" t="s">
        <v>660</v>
      </c>
      <c r="B133" s="19">
        <v>311760</v>
      </c>
      <c r="C133" s="19">
        <v>7000</v>
      </c>
      <c r="D133" s="19" t="s">
        <v>78</v>
      </c>
      <c r="E133" s="19" t="s">
        <v>413</v>
      </c>
      <c r="F133" s="19" t="s">
        <v>11</v>
      </c>
      <c r="G133" s="19" t="s">
        <v>17</v>
      </c>
      <c r="H133" s="19" t="s">
        <v>80</v>
      </c>
      <c r="I133" s="19" t="s">
        <v>78</v>
      </c>
      <c r="J133" s="19" t="s">
        <v>78</v>
      </c>
      <c r="K133" s="19" t="s">
        <v>78</v>
      </c>
      <c r="L133" s="19" t="s">
        <v>78</v>
      </c>
      <c r="M133" s="19" t="s">
        <v>78</v>
      </c>
      <c r="N133" s="19" t="s">
        <v>78</v>
      </c>
      <c r="O133" s="19" t="s">
        <v>78</v>
      </c>
      <c r="P133" s="19" t="s">
        <v>78</v>
      </c>
      <c r="Q133" s="19" t="s">
        <v>78</v>
      </c>
      <c r="R133" s="19" t="s">
        <v>78</v>
      </c>
      <c r="S133" s="20" t="s">
        <v>78</v>
      </c>
    </row>
    <row r="134" spans="1:19" x14ac:dyDescent="0.35">
      <c r="A134" s="81" t="s">
        <v>90</v>
      </c>
      <c r="B134" s="17">
        <v>659360</v>
      </c>
      <c r="C134" s="17">
        <v>16880</v>
      </c>
      <c r="D134" s="17" t="s">
        <v>78</v>
      </c>
      <c r="E134" s="17" t="s">
        <v>343</v>
      </c>
      <c r="F134" s="17" t="s">
        <v>10</v>
      </c>
      <c r="G134" s="17" t="s">
        <v>282</v>
      </c>
      <c r="H134" s="17" t="s">
        <v>80</v>
      </c>
      <c r="I134" s="17" t="s">
        <v>78</v>
      </c>
      <c r="J134" s="17" t="s">
        <v>78</v>
      </c>
      <c r="K134" s="17" t="s">
        <v>78</v>
      </c>
      <c r="L134" s="17" t="s">
        <v>78</v>
      </c>
      <c r="M134" s="17" t="s">
        <v>78</v>
      </c>
      <c r="N134" s="17" t="s">
        <v>78</v>
      </c>
      <c r="O134" s="17"/>
      <c r="P134" s="17" t="s">
        <v>78</v>
      </c>
      <c r="Q134" s="17" t="s">
        <v>78</v>
      </c>
      <c r="R134" s="17" t="s">
        <v>78</v>
      </c>
      <c r="S134" s="18" t="s">
        <v>78</v>
      </c>
    </row>
    <row r="135" spans="1:19" x14ac:dyDescent="0.35">
      <c r="A135" s="82" t="s">
        <v>90</v>
      </c>
      <c r="B135" s="19">
        <v>329840</v>
      </c>
      <c r="C135" s="19">
        <v>12800</v>
      </c>
      <c r="D135" s="19" t="s">
        <v>78</v>
      </c>
      <c r="E135" s="19" t="s">
        <v>343</v>
      </c>
      <c r="F135" s="19" t="s">
        <v>11</v>
      </c>
      <c r="G135" s="19" t="s">
        <v>298</v>
      </c>
      <c r="H135" s="19" t="s">
        <v>80</v>
      </c>
      <c r="I135" s="19" t="s">
        <v>78</v>
      </c>
      <c r="J135" s="19" t="s">
        <v>78</v>
      </c>
      <c r="K135" s="19" t="s">
        <v>78</v>
      </c>
      <c r="L135" s="19" t="s">
        <v>78</v>
      </c>
      <c r="M135" s="19" t="s">
        <v>78</v>
      </c>
      <c r="N135" s="19" t="s">
        <v>78</v>
      </c>
      <c r="O135" s="19"/>
      <c r="P135" s="19" t="s">
        <v>78</v>
      </c>
      <c r="Q135" s="19" t="s">
        <v>78</v>
      </c>
      <c r="R135" s="19" t="s">
        <v>78</v>
      </c>
      <c r="S135" s="20" t="s">
        <v>78</v>
      </c>
    </row>
    <row r="136" spans="1:19" x14ac:dyDescent="0.35">
      <c r="A136" s="81" t="s">
        <v>90</v>
      </c>
      <c r="B136" s="17">
        <v>782360</v>
      </c>
      <c r="C136" s="17">
        <v>7000</v>
      </c>
      <c r="D136" s="17" t="s">
        <v>78</v>
      </c>
      <c r="E136" s="17" t="s">
        <v>413</v>
      </c>
      <c r="F136" s="17" t="s">
        <v>10</v>
      </c>
      <c r="G136" s="17" t="s">
        <v>308</v>
      </c>
      <c r="H136" s="17" t="s">
        <v>80</v>
      </c>
      <c r="I136" s="17" t="s">
        <v>78</v>
      </c>
      <c r="J136" s="17" t="s">
        <v>78</v>
      </c>
      <c r="K136" s="17" t="s">
        <v>78</v>
      </c>
      <c r="L136" s="17" t="s">
        <v>78</v>
      </c>
      <c r="M136" s="17" t="s">
        <v>78</v>
      </c>
      <c r="N136" s="17" t="s">
        <v>78</v>
      </c>
      <c r="O136" s="17"/>
      <c r="P136" s="17" t="s">
        <v>78</v>
      </c>
      <c r="Q136" s="17" t="s">
        <v>78</v>
      </c>
      <c r="R136" s="17" t="s">
        <v>78</v>
      </c>
      <c r="S136" s="18" t="s">
        <v>78</v>
      </c>
    </row>
    <row r="137" spans="1:19" x14ac:dyDescent="0.35">
      <c r="A137" s="82" t="s">
        <v>90</v>
      </c>
      <c r="B137" s="19">
        <v>444000</v>
      </c>
      <c r="C137" s="19">
        <v>12640</v>
      </c>
      <c r="D137" s="19" t="s">
        <v>78</v>
      </c>
      <c r="E137" s="19" t="s">
        <v>413</v>
      </c>
      <c r="F137" s="19" t="s">
        <v>11</v>
      </c>
      <c r="G137" s="19" t="s">
        <v>282</v>
      </c>
      <c r="H137" s="19" t="s">
        <v>80</v>
      </c>
      <c r="I137" s="19" t="s">
        <v>78</v>
      </c>
      <c r="J137" s="19" t="s">
        <v>78</v>
      </c>
      <c r="K137" s="19" t="s">
        <v>78</v>
      </c>
      <c r="L137" s="19" t="s">
        <v>78</v>
      </c>
      <c r="M137" s="19" t="s">
        <v>78</v>
      </c>
      <c r="N137" s="19" t="s">
        <v>78</v>
      </c>
      <c r="O137" s="19"/>
      <c r="P137" s="19" t="s">
        <v>78</v>
      </c>
      <c r="Q137" s="19" t="s">
        <v>78</v>
      </c>
      <c r="R137" s="19" t="s">
        <v>78</v>
      </c>
      <c r="S137" s="20" t="s">
        <v>78</v>
      </c>
    </row>
    <row r="138" spans="1:19" x14ac:dyDescent="0.35">
      <c r="A138" s="82" t="s">
        <v>90</v>
      </c>
      <c r="B138" s="19">
        <v>587240</v>
      </c>
      <c r="C138" s="19">
        <v>15800</v>
      </c>
      <c r="D138" s="19" t="s">
        <v>78</v>
      </c>
      <c r="E138" s="19" t="s">
        <v>78</v>
      </c>
      <c r="F138" s="19" t="s">
        <v>13</v>
      </c>
      <c r="G138" s="19" t="s">
        <v>78</v>
      </c>
      <c r="H138" s="19" t="s">
        <v>80</v>
      </c>
      <c r="I138" s="19" t="s">
        <v>78</v>
      </c>
      <c r="J138" s="19" t="s">
        <v>78</v>
      </c>
      <c r="K138" s="19" t="s">
        <v>78</v>
      </c>
      <c r="L138" s="19" t="s">
        <v>78</v>
      </c>
      <c r="M138" s="19" t="s">
        <v>78</v>
      </c>
      <c r="N138" s="19" t="s">
        <v>78</v>
      </c>
      <c r="O138" s="19" t="s">
        <v>78</v>
      </c>
      <c r="P138" s="19" t="s">
        <v>78</v>
      </c>
      <c r="Q138" s="19" t="s">
        <v>78</v>
      </c>
      <c r="R138" s="19" t="s">
        <v>78</v>
      </c>
      <c r="S138" s="20" t="s">
        <v>78</v>
      </c>
    </row>
    <row r="139" spans="1:19" x14ac:dyDescent="0.35">
      <c r="A139" s="82" t="s">
        <v>91</v>
      </c>
      <c r="B139" s="19">
        <v>893880</v>
      </c>
      <c r="C139" s="19">
        <v>13600</v>
      </c>
      <c r="D139" s="19" t="s">
        <v>78</v>
      </c>
      <c r="E139" s="19" t="s">
        <v>78</v>
      </c>
      <c r="F139" s="19" t="s">
        <v>13</v>
      </c>
      <c r="G139" s="19" t="s">
        <v>78</v>
      </c>
      <c r="H139" s="19" t="s">
        <v>80</v>
      </c>
      <c r="I139" s="19" t="s">
        <v>78</v>
      </c>
      <c r="J139" s="19" t="s">
        <v>78</v>
      </c>
      <c r="K139" s="19" t="s">
        <v>78</v>
      </c>
      <c r="L139" s="19" t="s">
        <v>78</v>
      </c>
      <c r="M139" s="19" t="s">
        <v>78</v>
      </c>
      <c r="N139" s="19" t="s">
        <v>78</v>
      </c>
      <c r="O139" s="19"/>
      <c r="P139" s="19" t="s">
        <v>78</v>
      </c>
      <c r="Q139" s="19" t="s">
        <v>78</v>
      </c>
      <c r="R139" s="19" t="s">
        <v>78</v>
      </c>
      <c r="S139" s="20" t="s">
        <v>78</v>
      </c>
    </row>
    <row r="140" spans="1:19" x14ac:dyDescent="0.35">
      <c r="A140" s="81" t="s">
        <v>91</v>
      </c>
      <c r="B140" s="17">
        <v>842680</v>
      </c>
      <c r="C140" s="17">
        <v>13640</v>
      </c>
      <c r="D140" s="17" t="s">
        <v>78</v>
      </c>
      <c r="E140" s="17" t="s">
        <v>413</v>
      </c>
      <c r="F140" s="17" t="s">
        <v>11</v>
      </c>
      <c r="G140" s="17" t="s">
        <v>296</v>
      </c>
      <c r="H140" s="17" t="s">
        <v>80</v>
      </c>
      <c r="I140" s="17" t="s">
        <v>78</v>
      </c>
      <c r="J140" s="17" t="s">
        <v>78</v>
      </c>
      <c r="K140" s="17" t="s">
        <v>78</v>
      </c>
      <c r="L140" s="17" t="s">
        <v>78</v>
      </c>
      <c r="M140" s="17" t="s">
        <v>78</v>
      </c>
      <c r="N140" s="17" t="s">
        <v>78</v>
      </c>
      <c r="O140" s="17"/>
      <c r="P140" s="17" t="s">
        <v>78</v>
      </c>
      <c r="Q140" s="17" t="s">
        <v>78</v>
      </c>
      <c r="R140" s="17" t="s">
        <v>78</v>
      </c>
      <c r="S140" s="18" t="s">
        <v>78</v>
      </c>
    </row>
    <row r="141" spans="1:19" x14ac:dyDescent="0.35">
      <c r="A141" s="81" t="s">
        <v>91</v>
      </c>
      <c r="B141" s="17">
        <v>367040</v>
      </c>
      <c r="C141" s="17">
        <v>13640</v>
      </c>
      <c r="D141" s="17" t="s">
        <v>78</v>
      </c>
      <c r="E141" s="17" t="s">
        <v>78</v>
      </c>
      <c r="F141" s="17" t="s">
        <v>13</v>
      </c>
      <c r="G141" s="17" t="s">
        <v>78</v>
      </c>
      <c r="H141" s="17" t="s">
        <v>80</v>
      </c>
      <c r="I141" s="17" t="s">
        <v>78</v>
      </c>
      <c r="J141" s="17" t="s">
        <v>78</v>
      </c>
      <c r="K141" s="17" t="s">
        <v>78</v>
      </c>
      <c r="L141" s="17" t="s">
        <v>78</v>
      </c>
      <c r="M141" s="17" t="s">
        <v>78</v>
      </c>
      <c r="N141" s="17" t="s">
        <v>78</v>
      </c>
      <c r="O141" s="17"/>
      <c r="P141" s="17" t="s">
        <v>78</v>
      </c>
      <c r="Q141" s="17" t="s">
        <v>78</v>
      </c>
      <c r="R141" s="17" t="s">
        <v>78</v>
      </c>
      <c r="S141" s="18" t="s">
        <v>78</v>
      </c>
    </row>
    <row r="142" spans="1:19" x14ac:dyDescent="0.35">
      <c r="A142" s="82" t="s">
        <v>91</v>
      </c>
      <c r="B142" s="19">
        <v>489840</v>
      </c>
      <c r="C142" s="19">
        <v>12160</v>
      </c>
      <c r="D142" s="19" t="s">
        <v>78</v>
      </c>
      <c r="E142" s="19" t="s">
        <v>413</v>
      </c>
      <c r="F142" s="19" t="s">
        <v>11</v>
      </c>
      <c r="G142" s="19" t="s">
        <v>298</v>
      </c>
      <c r="H142" s="19" t="s">
        <v>80</v>
      </c>
      <c r="I142" s="19" t="s">
        <v>78</v>
      </c>
      <c r="J142" s="19" t="s">
        <v>78</v>
      </c>
      <c r="K142" s="19" t="s">
        <v>78</v>
      </c>
      <c r="L142" s="19" t="s">
        <v>78</v>
      </c>
      <c r="M142" s="19" t="s">
        <v>78</v>
      </c>
      <c r="N142" s="19" t="s">
        <v>78</v>
      </c>
      <c r="O142" s="19"/>
      <c r="P142" s="19" t="s">
        <v>78</v>
      </c>
      <c r="Q142" s="19" t="s">
        <v>78</v>
      </c>
      <c r="R142" s="19" t="s">
        <v>78</v>
      </c>
      <c r="S142" s="20" t="s">
        <v>78</v>
      </c>
    </row>
    <row r="143" spans="1:19" x14ac:dyDescent="0.35">
      <c r="A143" s="82" t="s">
        <v>91</v>
      </c>
      <c r="B143" s="19">
        <v>604120</v>
      </c>
      <c r="C143" s="19">
        <v>13960</v>
      </c>
      <c r="D143" s="19" t="s">
        <v>78</v>
      </c>
      <c r="E143" s="19" t="s">
        <v>343</v>
      </c>
      <c r="F143" s="19" t="s">
        <v>10</v>
      </c>
      <c r="G143" s="19" t="s">
        <v>305</v>
      </c>
      <c r="H143" s="19" t="s">
        <v>80</v>
      </c>
      <c r="I143" s="19" t="s">
        <v>78</v>
      </c>
      <c r="J143" s="19" t="s">
        <v>78</v>
      </c>
      <c r="K143" s="19" t="s">
        <v>78</v>
      </c>
      <c r="L143" s="19" t="s">
        <v>78</v>
      </c>
      <c r="M143" s="19" t="s">
        <v>78</v>
      </c>
      <c r="N143" s="19" t="s">
        <v>78</v>
      </c>
      <c r="O143" s="19" t="s">
        <v>78</v>
      </c>
      <c r="P143" s="19" t="s">
        <v>78</v>
      </c>
      <c r="Q143" s="19" t="s">
        <v>78</v>
      </c>
      <c r="R143" s="19" t="s">
        <v>78</v>
      </c>
      <c r="S143" s="20" t="s">
        <v>78</v>
      </c>
    </row>
    <row r="144" spans="1:19" x14ac:dyDescent="0.35">
      <c r="A144" s="81" t="s">
        <v>92</v>
      </c>
      <c r="B144" s="17">
        <v>907880</v>
      </c>
      <c r="C144" s="17">
        <v>17120</v>
      </c>
      <c r="D144" s="17" t="s">
        <v>78</v>
      </c>
      <c r="E144" s="17" t="s">
        <v>343</v>
      </c>
      <c r="F144" s="17" t="s">
        <v>11</v>
      </c>
      <c r="G144" s="17" t="s">
        <v>308</v>
      </c>
      <c r="H144" s="17" t="s">
        <v>80</v>
      </c>
      <c r="I144" s="17" t="s">
        <v>78</v>
      </c>
      <c r="J144" s="17" t="s">
        <v>78</v>
      </c>
      <c r="K144" s="17" t="s">
        <v>78</v>
      </c>
      <c r="L144" s="17" t="s">
        <v>78</v>
      </c>
      <c r="M144" s="17" t="s">
        <v>78</v>
      </c>
      <c r="N144" s="17" t="s">
        <v>78</v>
      </c>
      <c r="O144" s="17"/>
      <c r="P144" s="17" t="s">
        <v>78</v>
      </c>
      <c r="Q144" s="17" t="s">
        <v>78</v>
      </c>
      <c r="R144" s="17" t="s">
        <v>78</v>
      </c>
      <c r="S144" s="18" t="s">
        <v>78</v>
      </c>
    </row>
    <row r="145" spans="1:19" x14ac:dyDescent="0.35">
      <c r="A145" s="81" t="s">
        <v>92</v>
      </c>
      <c r="B145" s="17">
        <v>380720</v>
      </c>
      <c r="C145" s="17">
        <v>12640</v>
      </c>
      <c r="D145" s="17" t="s">
        <v>78</v>
      </c>
      <c r="E145" s="17" t="s">
        <v>343</v>
      </c>
      <c r="F145" s="17" t="s">
        <v>83</v>
      </c>
      <c r="G145" s="17" t="s">
        <v>301</v>
      </c>
      <c r="H145" s="17" t="s">
        <v>80</v>
      </c>
      <c r="I145" s="17" t="s">
        <v>78</v>
      </c>
      <c r="J145" s="17" t="s">
        <v>78</v>
      </c>
      <c r="K145" s="17" t="s">
        <v>78</v>
      </c>
      <c r="L145" s="17" t="s">
        <v>78</v>
      </c>
      <c r="M145" s="17" t="s">
        <v>78</v>
      </c>
      <c r="N145" s="17" t="s">
        <v>78</v>
      </c>
      <c r="O145" s="17"/>
      <c r="P145" s="17" t="s">
        <v>78</v>
      </c>
      <c r="Q145" s="17" t="s">
        <v>78</v>
      </c>
      <c r="R145" s="17" t="s">
        <v>78</v>
      </c>
      <c r="S145" s="18" t="s">
        <v>78</v>
      </c>
    </row>
    <row r="146" spans="1:19" x14ac:dyDescent="0.35">
      <c r="A146" s="81" t="s">
        <v>92</v>
      </c>
      <c r="B146" s="17">
        <v>912960</v>
      </c>
      <c r="C146" s="17">
        <v>13120</v>
      </c>
      <c r="D146" s="17" t="s">
        <v>78</v>
      </c>
      <c r="E146" s="17" t="s">
        <v>78</v>
      </c>
      <c r="F146" s="17" t="s">
        <v>13</v>
      </c>
      <c r="G146" s="17" t="s">
        <v>78</v>
      </c>
      <c r="H146" s="17" t="s">
        <v>80</v>
      </c>
      <c r="I146" s="17" t="s">
        <v>78</v>
      </c>
      <c r="J146" s="17" t="s">
        <v>78</v>
      </c>
      <c r="K146" s="17" t="s">
        <v>78</v>
      </c>
      <c r="L146" s="17" t="s">
        <v>78</v>
      </c>
      <c r="M146" s="17" t="s">
        <v>78</v>
      </c>
      <c r="N146" s="17" t="s">
        <v>78</v>
      </c>
      <c r="O146" s="17"/>
      <c r="P146" s="17" t="s">
        <v>78</v>
      </c>
      <c r="Q146" s="17" t="s">
        <v>78</v>
      </c>
      <c r="R146" s="17" t="s">
        <v>78</v>
      </c>
      <c r="S146" s="18" t="s">
        <v>78</v>
      </c>
    </row>
    <row r="147" spans="1:19" x14ac:dyDescent="0.35">
      <c r="A147" s="82" t="s">
        <v>92</v>
      </c>
      <c r="B147" s="19">
        <v>533600</v>
      </c>
      <c r="C147" s="19">
        <v>9760</v>
      </c>
      <c r="D147" s="19" t="s">
        <v>78</v>
      </c>
      <c r="E147" s="19" t="s">
        <v>413</v>
      </c>
      <c r="F147" s="19" t="s">
        <v>11</v>
      </c>
      <c r="G147" s="19" t="s">
        <v>308</v>
      </c>
      <c r="H147" s="19" t="s">
        <v>80</v>
      </c>
      <c r="I147" s="19" t="s">
        <v>78</v>
      </c>
      <c r="J147" s="19" t="s">
        <v>78</v>
      </c>
      <c r="K147" s="19" t="s">
        <v>78</v>
      </c>
      <c r="L147" s="19" t="s">
        <v>78</v>
      </c>
      <c r="M147" s="19" t="s">
        <v>78</v>
      </c>
      <c r="N147" s="19" t="s">
        <v>78</v>
      </c>
      <c r="O147" s="19"/>
      <c r="P147" s="19" t="s">
        <v>78</v>
      </c>
      <c r="Q147" s="19" t="s">
        <v>78</v>
      </c>
      <c r="R147" s="19" t="s">
        <v>78</v>
      </c>
      <c r="S147" s="20" t="s">
        <v>78</v>
      </c>
    </row>
    <row r="148" spans="1:19" x14ac:dyDescent="0.35">
      <c r="A148" s="82" t="s">
        <v>92</v>
      </c>
      <c r="B148" s="19">
        <v>867760</v>
      </c>
      <c r="C148" s="19">
        <v>16600</v>
      </c>
      <c r="D148" s="19" t="s">
        <v>78</v>
      </c>
      <c r="E148" s="19" t="s">
        <v>343</v>
      </c>
      <c r="F148" s="19" t="s">
        <v>11</v>
      </c>
      <c r="G148" s="19" t="s">
        <v>302</v>
      </c>
      <c r="H148" s="19" t="s">
        <v>80</v>
      </c>
      <c r="I148" s="19" t="s">
        <v>78</v>
      </c>
      <c r="J148" s="19" t="s">
        <v>78</v>
      </c>
      <c r="K148" s="19" t="s">
        <v>78</v>
      </c>
      <c r="L148" s="19" t="s">
        <v>78</v>
      </c>
      <c r="M148" s="19" t="s">
        <v>78</v>
      </c>
      <c r="N148" s="19" t="s">
        <v>78</v>
      </c>
      <c r="O148" s="19" t="s">
        <v>78</v>
      </c>
      <c r="P148" s="19" t="s">
        <v>78</v>
      </c>
      <c r="Q148" s="19" t="s">
        <v>78</v>
      </c>
      <c r="R148" s="19" t="s">
        <v>78</v>
      </c>
      <c r="S148" s="20" t="s">
        <v>78</v>
      </c>
    </row>
    <row r="149" spans="1:19" x14ac:dyDescent="0.35">
      <c r="A149" s="82" t="s">
        <v>93</v>
      </c>
      <c r="B149" s="19">
        <v>1037040</v>
      </c>
      <c r="C149" s="19">
        <v>11720</v>
      </c>
      <c r="D149" s="19" t="s">
        <v>78</v>
      </c>
      <c r="E149" s="19" t="s">
        <v>343</v>
      </c>
      <c r="F149" s="19" t="s">
        <v>10</v>
      </c>
      <c r="G149" s="19" t="s">
        <v>309</v>
      </c>
      <c r="H149" s="19" t="s">
        <v>80</v>
      </c>
      <c r="I149" s="19" t="s">
        <v>78</v>
      </c>
      <c r="J149" s="19" t="s">
        <v>78</v>
      </c>
      <c r="K149" s="19" t="s">
        <v>78</v>
      </c>
      <c r="L149" s="19" t="s">
        <v>78</v>
      </c>
      <c r="M149" s="19" t="s">
        <v>78</v>
      </c>
      <c r="N149" s="19" t="s">
        <v>78</v>
      </c>
      <c r="O149" s="19"/>
      <c r="P149" s="19" t="s">
        <v>78</v>
      </c>
      <c r="Q149" s="19" t="s">
        <v>78</v>
      </c>
      <c r="R149" s="19" t="s">
        <v>78</v>
      </c>
      <c r="S149" s="20" t="s">
        <v>78</v>
      </c>
    </row>
    <row r="150" spans="1:19" x14ac:dyDescent="0.35">
      <c r="A150" s="81" t="s">
        <v>93</v>
      </c>
      <c r="B150" s="17">
        <v>927560</v>
      </c>
      <c r="C150" s="17">
        <v>11760</v>
      </c>
      <c r="D150" s="17" t="s">
        <v>78</v>
      </c>
      <c r="E150" s="17" t="s">
        <v>78</v>
      </c>
      <c r="F150" s="17" t="s">
        <v>13</v>
      </c>
      <c r="G150" s="17" t="s">
        <v>78</v>
      </c>
      <c r="H150" s="17" t="s">
        <v>80</v>
      </c>
      <c r="I150" s="17" t="s">
        <v>78</v>
      </c>
      <c r="J150" s="17" t="s">
        <v>78</v>
      </c>
      <c r="K150" s="17" t="s">
        <v>78</v>
      </c>
      <c r="L150" s="17" t="s">
        <v>78</v>
      </c>
      <c r="M150" s="17" t="s">
        <v>78</v>
      </c>
      <c r="N150" s="17" t="s">
        <v>78</v>
      </c>
      <c r="O150" s="17"/>
      <c r="P150" s="17" t="s">
        <v>78</v>
      </c>
      <c r="Q150" s="17" t="s">
        <v>78</v>
      </c>
      <c r="R150" s="17" t="s">
        <v>78</v>
      </c>
      <c r="S150" s="18" t="s">
        <v>78</v>
      </c>
    </row>
    <row r="151" spans="1:19" x14ac:dyDescent="0.35">
      <c r="A151" s="81" t="s">
        <v>93</v>
      </c>
      <c r="B151" s="17">
        <v>459200</v>
      </c>
      <c r="C151" s="17">
        <v>18320</v>
      </c>
      <c r="D151" s="17" t="s">
        <v>78</v>
      </c>
      <c r="E151" s="17" t="s">
        <v>78</v>
      </c>
      <c r="F151" s="17" t="s">
        <v>79</v>
      </c>
      <c r="G151" s="17" t="s">
        <v>78</v>
      </c>
      <c r="H151" s="17" t="s">
        <v>80</v>
      </c>
      <c r="I151" s="17" t="s">
        <v>78</v>
      </c>
      <c r="J151" s="17" t="s">
        <v>78</v>
      </c>
      <c r="K151" s="17" t="s">
        <v>78</v>
      </c>
      <c r="L151" s="17" t="s">
        <v>78</v>
      </c>
      <c r="M151" s="17" t="s">
        <v>78</v>
      </c>
      <c r="N151" s="17" t="s">
        <v>78</v>
      </c>
      <c r="O151" s="17"/>
      <c r="P151" s="17" t="s">
        <v>78</v>
      </c>
      <c r="Q151" s="17" t="s">
        <v>78</v>
      </c>
      <c r="R151" s="17" t="s">
        <v>78</v>
      </c>
      <c r="S151" s="18" t="s">
        <v>78</v>
      </c>
    </row>
    <row r="152" spans="1:19" x14ac:dyDescent="0.35">
      <c r="A152" s="82" t="s">
        <v>93</v>
      </c>
      <c r="B152" s="19">
        <v>665480</v>
      </c>
      <c r="C152" s="19">
        <v>11440</v>
      </c>
      <c r="D152" s="19" t="s">
        <v>78</v>
      </c>
      <c r="E152" s="19" t="s">
        <v>78</v>
      </c>
      <c r="F152" s="19" t="s">
        <v>13</v>
      </c>
      <c r="G152" s="19" t="s">
        <v>78</v>
      </c>
      <c r="H152" s="19" t="s">
        <v>80</v>
      </c>
      <c r="I152" s="19" t="s">
        <v>78</v>
      </c>
      <c r="J152" s="19" t="s">
        <v>78</v>
      </c>
      <c r="K152" s="19" t="s">
        <v>78</v>
      </c>
      <c r="L152" s="19" t="s">
        <v>78</v>
      </c>
      <c r="M152" s="19" t="s">
        <v>78</v>
      </c>
      <c r="N152" s="19" t="s">
        <v>78</v>
      </c>
      <c r="O152" s="19"/>
      <c r="P152" s="19" t="s">
        <v>78</v>
      </c>
      <c r="Q152" s="19" t="s">
        <v>78</v>
      </c>
      <c r="R152" s="19" t="s">
        <v>78</v>
      </c>
      <c r="S152" s="20" t="s">
        <v>78</v>
      </c>
    </row>
    <row r="153" spans="1:19" x14ac:dyDescent="0.35">
      <c r="A153" s="82" t="s">
        <v>93</v>
      </c>
      <c r="B153" s="19">
        <v>934440</v>
      </c>
      <c r="C153" s="19">
        <v>18080</v>
      </c>
      <c r="D153" s="19" t="s">
        <v>78</v>
      </c>
      <c r="E153" s="19" t="s">
        <v>343</v>
      </c>
      <c r="F153" s="19" t="s">
        <v>11</v>
      </c>
      <c r="G153" s="19" t="s">
        <v>298</v>
      </c>
      <c r="H153" s="19" t="s">
        <v>80</v>
      </c>
      <c r="I153" s="19" t="s">
        <v>78</v>
      </c>
      <c r="J153" s="19" t="s">
        <v>78</v>
      </c>
      <c r="K153" s="19" t="s">
        <v>78</v>
      </c>
      <c r="L153" s="19" t="s">
        <v>78</v>
      </c>
      <c r="M153" s="19" t="s">
        <v>78</v>
      </c>
      <c r="N153" s="19" t="s">
        <v>78</v>
      </c>
      <c r="O153" s="19" t="s">
        <v>78</v>
      </c>
      <c r="P153" s="19" t="s">
        <v>78</v>
      </c>
      <c r="Q153" s="19" t="s">
        <v>78</v>
      </c>
      <c r="R153" s="19" t="s">
        <v>78</v>
      </c>
      <c r="S153" s="20" t="s">
        <v>78</v>
      </c>
    </row>
    <row r="154" spans="1:19" x14ac:dyDescent="0.35">
      <c r="A154" s="81" t="s">
        <v>94</v>
      </c>
      <c r="B154" s="17">
        <v>1084440</v>
      </c>
      <c r="C154" s="17">
        <v>25440</v>
      </c>
      <c r="D154" s="17" t="s">
        <v>78</v>
      </c>
      <c r="E154" s="17" t="s">
        <v>78</v>
      </c>
      <c r="F154" s="17" t="s">
        <v>79</v>
      </c>
      <c r="G154" s="17" t="s">
        <v>78</v>
      </c>
      <c r="H154" s="17" t="s">
        <v>80</v>
      </c>
      <c r="I154" s="17" t="s">
        <v>78</v>
      </c>
      <c r="J154" s="17" t="s">
        <v>78</v>
      </c>
      <c r="K154" s="17" t="s">
        <v>78</v>
      </c>
      <c r="L154" s="17" t="s">
        <v>78</v>
      </c>
      <c r="M154" s="17" t="s">
        <v>78</v>
      </c>
      <c r="N154" s="17" t="s">
        <v>78</v>
      </c>
      <c r="O154" s="17"/>
      <c r="P154" s="17" t="s">
        <v>78</v>
      </c>
      <c r="Q154" s="17" t="s">
        <v>78</v>
      </c>
      <c r="R154" s="17" t="s">
        <v>78</v>
      </c>
      <c r="S154" s="18" t="s">
        <v>78</v>
      </c>
    </row>
    <row r="155" spans="1:19" x14ac:dyDescent="0.35">
      <c r="A155" s="82" t="s">
        <v>94</v>
      </c>
      <c r="B155" s="19">
        <v>502640</v>
      </c>
      <c r="C155" s="19">
        <v>18280</v>
      </c>
      <c r="D155" s="19" t="s">
        <v>78</v>
      </c>
      <c r="E155" s="19" t="s">
        <v>343</v>
      </c>
      <c r="F155" s="19" t="s">
        <v>83</v>
      </c>
      <c r="G155" s="19" t="s">
        <v>17</v>
      </c>
      <c r="H155" s="19" t="s">
        <v>80</v>
      </c>
      <c r="I155" s="19" t="s">
        <v>78</v>
      </c>
      <c r="J155" s="19" t="s">
        <v>78</v>
      </c>
      <c r="K155" s="19" t="s">
        <v>78</v>
      </c>
      <c r="L155" s="19" t="s">
        <v>78</v>
      </c>
      <c r="M155" s="19" t="s">
        <v>78</v>
      </c>
      <c r="N155" s="19" t="s">
        <v>78</v>
      </c>
      <c r="O155" s="19"/>
      <c r="P155" s="19" t="s">
        <v>78</v>
      </c>
      <c r="Q155" s="19" t="s">
        <v>78</v>
      </c>
      <c r="R155" s="19" t="s">
        <v>78</v>
      </c>
      <c r="S155" s="20" t="s">
        <v>78</v>
      </c>
    </row>
    <row r="156" spans="1:19" x14ac:dyDescent="0.35">
      <c r="A156" s="82" t="s">
        <v>94</v>
      </c>
      <c r="B156" s="19">
        <v>940840</v>
      </c>
      <c r="C156" s="19">
        <v>12000</v>
      </c>
      <c r="D156" s="19" t="s">
        <v>78</v>
      </c>
      <c r="E156" s="19" t="s">
        <v>413</v>
      </c>
      <c r="F156" s="19" t="s">
        <v>10</v>
      </c>
      <c r="G156" s="19" t="s">
        <v>309</v>
      </c>
      <c r="H156" s="19" t="s">
        <v>80</v>
      </c>
      <c r="I156" s="19" t="s">
        <v>78</v>
      </c>
      <c r="J156" s="19" t="s">
        <v>78</v>
      </c>
      <c r="K156" s="19" t="s">
        <v>78</v>
      </c>
      <c r="L156" s="19" t="s">
        <v>78</v>
      </c>
      <c r="M156" s="19" t="s">
        <v>78</v>
      </c>
      <c r="N156" s="19" t="s">
        <v>78</v>
      </c>
      <c r="O156" s="19"/>
      <c r="P156" s="19" t="s">
        <v>78</v>
      </c>
      <c r="Q156" s="19" t="s">
        <v>78</v>
      </c>
      <c r="R156" s="19" t="s">
        <v>78</v>
      </c>
      <c r="S156" s="20" t="s">
        <v>78</v>
      </c>
    </row>
    <row r="157" spans="1:19" x14ac:dyDescent="0.35">
      <c r="A157" s="82" t="s">
        <v>94</v>
      </c>
      <c r="B157" s="19">
        <v>677280</v>
      </c>
      <c r="C157" s="19">
        <v>21120</v>
      </c>
      <c r="D157" s="19" t="s">
        <v>78</v>
      </c>
      <c r="E157" s="19" t="s">
        <v>413</v>
      </c>
      <c r="F157" s="19" t="s">
        <v>83</v>
      </c>
      <c r="G157" s="19" t="s">
        <v>17</v>
      </c>
      <c r="H157" s="19" t="s">
        <v>80</v>
      </c>
      <c r="I157" s="19" t="s">
        <v>78</v>
      </c>
      <c r="J157" s="19" t="s">
        <v>78</v>
      </c>
      <c r="K157" s="19" t="s">
        <v>78</v>
      </c>
      <c r="L157" s="19" t="s">
        <v>78</v>
      </c>
      <c r="M157" s="19" t="s">
        <v>78</v>
      </c>
      <c r="N157" s="19" t="s">
        <v>78</v>
      </c>
      <c r="O157" s="19"/>
      <c r="P157" s="19" t="s">
        <v>78</v>
      </c>
      <c r="Q157" s="19" t="s">
        <v>78</v>
      </c>
      <c r="R157" s="19" t="s">
        <v>78</v>
      </c>
      <c r="S157" s="20" t="s">
        <v>78</v>
      </c>
    </row>
    <row r="158" spans="1:19" x14ac:dyDescent="0.35">
      <c r="A158" s="82" t="s">
        <v>94</v>
      </c>
      <c r="B158" s="19">
        <v>1013080</v>
      </c>
      <c r="C158" s="19">
        <v>14600</v>
      </c>
      <c r="D158" s="19" t="s">
        <v>78</v>
      </c>
      <c r="E158" s="19" t="s">
        <v>343</v>
      </c>
      <c r="F158" s="19" t="s">
        <v>11</v>
      </c>
      <c r="G158" s="19" t="s">
        <v>305</v>
      </c>
      <c r="H158" s="19" t="s">
        <v>80</v>
      </c>
      <c r="I158" s="19" t="s">
        <v>78</v>
      </c>
      <c r="J158" s="19" t="s">
        <v>78</v>
      </c>
      <c r="K158" s="19" t="s">
        <v>78</v>
      </c>
      <c r="L158" s="19" t="s">
        <v>78</v>
      </c>
      <c r="M158" s="19" t="s">
        <v>78</v>
      </c>
      <c r="N158" s="19" t="s">
        <v>78</v>
      </c>
      <c r="O158" s="19" t="s">
        <v>78</v>
      </c>
      <c r="P158" s="19" t="s">
        <v>78</v>
      </c>
      <c r="Q158" s="19" t="s">
        <v>78</v>
      </c>
      <c r="R158" s="19" t="s">
        <v>78</v>
      </c>
      <c r="S158" s="20" t="s">
        <v>78</v>
      </c>
    </row>
    <row r="159" spans="1:19" x14ac:dyDescent="0.35">
      <c r="A159" s="81" t="s">
        <v>378</v>
      </c>
      <c r="B159" s="17">
        <v>30360</v>
      </c>
      <c r="C159" s="17">
        <v>22080</v>
      </c>
      <c r="D159" s="17" t="s">
        <v>78</v>
      </c>
      <c r="E159" s="17" t="s">
        <v>343</v>
      </c>
      <c r="F159" s="17" t="s">
        <v>11</v>
      </c>
      <c r="G159" s="17" t="s">
        <v>15</v>
      </c>
      <c r="H159" s="17" t="s">
        <v>379</v>
      </c>
      <c r="I159" s="17" t="s">
        <v>78</v>
      </c>
      <c r="J159" s="17" t="s">
        <v>78</v>
      </c>
      <c r="K159" s="17" t="s">
        <v>78</v>
      </c>
      <c r="L159" s="17" t="s">
        <v>78</v>
      </c>
      <c r="M159" s="17" t="s">
        <v>78</v>
      </c>
      <c r="N159" s="17" t="s">
        <v>78</v>
      </c>
      <c r="O159" s="17"/>
      <c r="P159" s="17" t="s">
        <v>78</v>
      </c>
      <c r="Q159" s="17" t="s">
        <v>78</v>
      </c>
      <c r="R159" s="17" t="s">
        <v>78</v>
      </c>
      <c r="S159" s="18" t="s">
        <v>78</v>
      </c>
    </row>
    <row r="160" spans="1:19" x14ac:dyDescent="0.35">
      <c r="A160" s="82" t="s">
        <v>378</v>
      </c>
      <c r="B160" s="19">
        <v>1856760</v>
      </c>
      <c r="C160" s="19">
        <v>17120</v>
      </c>
      <c r="D160" s="19" t="s">
        <v>78</v>
      </c>
      <c r="E160" s="19" t="s">
        <v>78</v>
      </c>
      <c r="F160" s="19" t="s">
        <v>79</v>
      </c>
      <c r="G160" s="19" t="s">
        <v>78</v>
      </c>
      <c r="H160" s="19" t="s">
        <v>379</v>
      </c>
      <c r="I160" s="19" t="s">
        <v>78</v>
      </c>
      <c r="J160" s="19" t="s">
        <v>78</v>
      </c>
      <c r="K160" s="19" t="s">
        <v>78</v>
      </c>
      <c r="L160" s="19" t="s">
        <v>78</v>
      </c>
      <c r="M160" s="19" t="s">
        <v>78</v>
      </c>
      <c r="N160" s="19" t="s">
        <v>78</v>
      </c>
      <c r="O160" s="19"/>
      <c r="P160" s="19" t="s">
        <v>78</v>
      </c>
      <c r="Q160" s="19" t="s">
        <v>78</v>
      </c>
      <c r="R160" s="19" t="s">
        <v>78</v>
      </c>
      <c r="S160" s="20" t="s">
        <v>78</v>
      </c>
    </row>
    <row r="161" spans="1:19" x14ac:dyDescent="0.35">
      <c r="A161" s="82" t="s">
        <v>378</v>
      </c>
      <c r="B161" s="19">
        <v>1028800</v>
      </c>
      <c r="C161" s="19">
        <v>22120</v>
      </c>
      <c r="D161" s="19" t="s">
        <v>78</v>
      </c>
      <c r="E161" s="19" t="s">
        <v>413</v>
      </c>
      <c r="F161" s="19" t="s">
        <v>11</v>
      </c>
      <c r="G161" s="19" t="s">
        <v>298</v>
      </c>
      <c r="H161" s="19" t="s">
        <v>379</v>
      </c>
      <c r="I161" s="19" t="s">
        <v>78</v>
      </c>
      <c r="J161" s="19" t="s">
        <v>78</v>
      </c>
      <c r="K161" s="19" t="s">
        <v>78</v>
      </c>
      <c r="L161" s="19" t="s">
        <v>78</v>
      </c>
      <c r="M161" s="19" t="s">
        <v>78</v>
      </c>
      <c r="N161" s="19" t="s">
        <v>78</v>
      </c>
      <c r="O161" s="19"/>
      <c r="P161" s="19" t="s">
        <v>78</v>
      </c>
      <c r="Q161" s="19" t="s">
        <v>78</v>
      </c>
      <c r="R161" s="19" t="s">
        <v>78</v>
      </c>
      <c r="S161" s="20" t="s">
        <v>78</v>
      </c>
    </row>
    <row r="162" spans="1:19" x14ac:dyDescent="0.35">
      <c r="A162" s="82" t="s">
        <v>378</v>
      </c>
      <c r="B162" s="19">
        <v>255000</v>
      </c>
      <c r="C162" s="19">
        <v>24120</v>
      </c>
      <c r="D162" s="19" t="s">
        <v>78</v>
      </c>
      <c r="E162" s="19" t="s">
        <v>413</v>
      </c>
      <c r="F162" s="19" t="s">
        <v>10</v>
      </c>
      <c r="G162" s="19" t="s">
        <v>298</v>
      </c>
      <c r="H162" s="19" t="s">
        <v>379</v>
      </c>
      <c r="I162" s="19" t="s">
        <v>78</v>
      </c>
      <c r="J162" s="19" t="s">
        <v>78</v>
      </c>
      <c r="K162" s="19" t="s">
        <v>78</v>
      </c>
      <c r="L162" s="19" t="s">
        <v>78</v>
      </c>
      <c r="M162" s="19" t="s">
        <v>78</v>
      </c>
      <c r="N162" s="19" t="s">
        <v>78</v>
      </c>
      <c r="O162" s="19" t="s">
        <v>78</v>
      </c>
      <c r="P162" s="19" t="s">
        <v>78</v>
      </c>
      <c r="Q162" s="19" t="s">
        <v>78</v>
      </c>
      <c r="R162" s="19" t="s">
        <v>78</v>
      </c>
      <c r="S162" s="20" t="s">
        <v>78</v>
      </c>
    </row>
    <row r="163" spans="1:19" x14ac:dyDescent="0.35">
      <c r="A163" s="82" t="s">
        <v>549</v>
      </c>
      <c r="B163" s="19">
        <v>57560</v>
      </c>
      <c r="C163" s="19">
        <v>20920</v>
      </c>
      <c r="D163" s="19" t="s">
        <v>78</v>
      </c>
      <c r="E163" s="19" t="s">
        <v>78</v>
      </c>
      <c r="F163" s="19" t="s">
        <v>13</v>
      </c>
      <c r="G163" s="19" t="s">
        <v>78</v>
      </c>
      <c r="H163" s="19" t="s">
        <v>379</v>
      </c>
      <c r="I163" s="19" t="s">
        <v>78</v>
      </c>
      <c r="J163" s="19" t="s">
        <v>78</v>
      </c>
      <c r="K163" s="19" t="s">
        <v>78</v>
      </c>
      <c r="L163" s="19" t="s">
        <v>78</v>
      </c>
      <c r="M163" s="19" t="s">
        <v>78</v>
      </c>
      <c r="N163" s="19" t="s">
        <v>78</v>
      </c>
      <c r="O163" s="19"/>
      <c r="P163" s="19" t="s">
        <v>78</v>
      </c>
      <c r="Q163" s="19" t="s">
        <v>78</v>
      </c>
      <c r="R163" s="19" t="s">
        <v>78</v>
      </c>
      <c r="S163" s="20" t="s">
        <v>78</v>
      </c>
    </row>
    <row r="164" spans="1:19" x14ac:dyDescent="0.35">
      <c r="A164" s="82" t="s">
        <v>549</v>
      </c>
      <c r="B164" s="19">
        <v>1814760</v>
      </c>
      <c r="C164" s="19">
        <v>19280</v>
      </c>
      <c r="D164" s="19" t="s">
        <v>78</v>
      </c>
      <c r="E164" s="19" t="s">
        <v>413</v>
      </c>
      <c r="F164" s="19" t="s">
        <v>83</v>
      </c>
      <c r="G164" s="19" t="s">
        <v>307</v>
      </c>
      <c r="H164" s="19" t="s">
        <v>379</v>
      </c>
      <c r="I164" s="19" t="s">
        <v>78</v>
      </c>
      <c r="J164" s="19" t="s">
        <v>78</v>
      </c>
      <c r="K164" s="19" t="s">
        <v>78</v>
      </c>
      <c r="L164" s="19" t="s">
        <v>78</v>
      </c>
      <c r="M164" s="19" t="s">
        <v>78</v>
      </c>
      <c r="N164" s="19" t="s">
        <v>78</v>
      </c>
      <c r="O164" s="19"/>
      <c r="P164" s="19" t="s">
        <v>78</v>
      </c>
      <c r="Q164" s="19" t="s">
        <v>78</v>
      </c>
      <c r="R164" s="19" t="s">
        <v>78</v>
      </c>
      <c r="S164" s="20" t="s">
        <v>78</v>
      </c>
    </row>
    <row r="165" spans="1:19" x14ac:dyDescent="0.35">
      <c r="A165" s="81" t="s">
        <v>548</v>
      </c>
      <c r="B165" s="17">
        <v>86760</v>
      </c>
      <c r="C165" s="17">
        <v>7000</v>
      </c>
      <c r="D165" s="17" t="s">
        <v>78</v>
      </c>
      <c r="E165" s="17" t="s">
        <v>413</v>
      </c>
      <c r="F165" s="17" t="s">
        <v>10</v>
      </c>
      <c r="G165" s="17" t="s">
        <v>15</v>
      </c>
      <c r="H165" s="17" t="s">
        <v>379</v>
      </c>
      <c r="I165" s="17" t="s">
        <v>78</v>
      </c>
      <c r="J165" s="17" t="s">
        <v>78</v>
      </c>
      <c r="K165" s="17" t="s">
        <v>78</v>
      </c>
      <c r="L165" s="17" t="s">
        <v>78</v>
      </c>
      <c r="M165" s="17" t="s">
        <v>78</v>
      </c>
      <c r="N165" s="17" t="s">
        <v>78</v>
      </c>
      <c r="O165" s="17"/>
      <c r="P165" s="17" t="s">
        <v>78</v>
      </c>
      <c r="Q165" s="17" t="s">
        <v>78</v>
      </c>
      <c r="R165" s="17" t="s">
        <v>78</v>
      </c>
      <c r="S165" s="18" t="s">
        <v>78</v>
      </c>
    </row>
    <row r="166" spans="1:19" x14ac:dyDescent="0.35">
      <c r="A166" s="82" t="s">
        <v>548</v>
      </c>
      <c r="B166" s="19">
        <v>1878960</v>
      </c>
      <c r="C166" s="19">
        <v>33960</v>
      </c>
      <c r="D166" s="19" t="s">
        <v>78</v>
      </c>
      <c r="E166" s="19" t="s">
        <v>78</v>
      </c>
      <c r="F166" s="19" t="s">
        <v>79</v>
      </c>
      <c r="G166" s="19" t="s">
        <v>78</v>
      </c>
      <c r="H166" s="19" t="s">
        <v>379</v>
      </c>
      <c r="I166" s="19" t="s">
        <v>78</v>
      </c>
      <c r="J166" s="19" t="s">
        <v>78</v>
      </c>
      <c r="K166" s="19" t="s">
        <v>78</v>
      </c>
      <c r="L166" s="19" t="s">
        <v>78</v>
      </c>
      <c r="M166" s="19" t="s">
        <v>78</v>
      </c>
      <c r="N166" s="19" t="s">
        <v>78</v>
      </c>
      <c r="O166" s="19"/>
      <c r="P166" s="19" t="s">
        <v>78</v>
      </c>
      <c r="Q166" s="19" t="s">
        <v>78</v>
      </c>
      <c r="R166" s="19" t="s">
        <v>78</v>
      </c>
      <c r="S166" s="20" t="s">
        <v>78</v>
      </c>
    </row>
    <row r="167" spans="1:19" x14ac:dyDescent="0.35">
      <c r="A167" s="82" t="s">
        <v>580</v>
      </c>
      <c r="B167" s="19">
        <v>1066480</v>
      </c>
      <c r="C167" s="19">
        <v>25640</v>
      </c>
      <c r="D167" s="19" t="s">
        <v>78</v>
      </c>
      <c r="E167" s="19" t="s">
        <v>78</v>
      </c>
      <c r="F167" s="19" t="s">
        <v>79</v>
      </c>
      <c r="G167" s="19" t="s">
        <v>78</v>
      </c>
      <c r="H167" s="19" t="s">
        <v>379</v>
      </c>
      <c r="I167" s="19" t="s">
        <v>78</v>
      </c>
      <c r="J167" s="19" t="s">
        <v>78</v>
      </c>
      <c r="K167" s="19" t="s">
        <v>78</v>
      </c>
      <c r="L167" s="19" t="s">
        <v>78</v>
      </c>
      <c r="M167" s="19" t="s">
        <v>78</v>
      </c>
      <c r="N167" s="19" t="s">
        <v>78</v>
      </c>
      <c r="O167" s="19"/>
      <c r="P167" s="19" t="s">
        <v>78</v>
      </c>
      <c r="Q167" s="19" t="s">
        <v>78</v>
      </c>
      <c r="R167" s="19" t="s">
        <v>78</v>
      </c>
      <c r="S167" s="20" t="s">
        <v>78</v>
      </c>
    </row>
    <row r="168" spans="1:19" x14ac:dyDescent="0.35">
      <c r="A168" s="82" t="s">
        <v>581</v>
      </c>
      <c r="B168" s="19">
        <v>1105920</v>
      </c>
      <c r="C168" s="19">
        <v>15320</v>
      </c>
      <c r="D168" s="19" t="s">
        <v>78</v>
      </c>
      <c r="E168" s="19" t="s">
        <v>343</v>
      </c>
      <c r="F168" s="19" t="s">
        <v>83</v>
      </c>
      <c r="G168" s="19" t="s">
        <v>309</v>
      </c>
      <c r="H168" s="19" t="s">
        <v>379</v>
      </c>
      <c r="I168" s="19" t="s">
        <v>78</v>
      </c>
      <c r="J168" s="19" t="s">
        <v>78</v>
      </c>
      <c r="K168" s="19" t="s">
        <v>78</v>
      </c>
      <c r="L168" s="19" t="s">
        <v>78</v>
      </c>
      <c r="M168" s="19" t="s">
        <v>78</v>
      </c>
      <c r="N168" s="19" t="s">
        <v>78</v>
      </c>
      <c r="O168" s="19"/>
      <c r="P168" s="19" t="s">
        <v>78</v>
      </c>
      <c r="Q168" s="19" t="s">
        <v>78</v>
      </c>
      <c r="R168" s="19" t="s">
        <v>78</v>
      </c>
      <c r="S168" s="20" t="s">
        <v>78</v>
      </c>
    </row>
    <row r="169" spans="1:19" x14ac:dyDescent="0.35">
      <c r="A169" s="82" t="s">
        <v>582</v>
      </c>
      <c r="B169" s="19">
        <v>1202200</v>
      </c>
      <c r="C169" s="19">
        <v>27080</v>
      </c>
      <c r="D169" s="19" t="s">
        <v>78</v>
      </c>
      <c r="E169" s="19" t="s">
        <v>78</v>
      </c>
      <c r="F169" s="19" t="s">
        <v>79</v>
      </c>
      <c r="G169" s="19" t="s">
        <v>78</v>
      </c>
      <c r="H169" s="19" t="s">
        <v>379</v>
      </c>
      <c r="I169" s="19" t="s">
        <v>78</v>
      </c>
      <c r="J169" s="19" t="s">
        <v>78</v>
      </c>
      <c r="K169" s="19" t="s">
        <v>78</v>
      </c>
      <c r="L169" s="19" t="s">
        <v>78</v>
      </c>
      <c r="M169" s="19" t="s">
        <v>78</v>
      </c>
      <c r="N169" s="19" t="s">
        <v>78</v>
      </c>
      <c r="O169" s="19"/>
      <c r="P169" s="19" t="s">
        <v>78</v>
      </c>
      <c r="Q169" s="19" t="s">
        <v>78</v>
      </c>
      <c r="R169" s="19" t="s">
        <v>78</v>
      </c>
      <c r="S169" s="20" t="s">
        <v>78</v>
      </c>
    </row>
    <row r="170" spans="1:19" x14ac:dyDescent="0.35">
      <c r="A170" s="82" t="s">
        <v>583</v>
      </c>
      <c r="B170" s="19">
        <v>1250640</v>
      </c>
      <c r="C170" s="19">
        <v>14440</v>
      </c>
      <c r="D170" s="19" t="s">
        <v>78</v>
      </c>
      <c r="E170" s="19" t="s">
        <v>78</v>
      </c>
      <c r="F170" s="19" t="s">
        <v>13</v>
      </c>
      <c r="G170" s="19" t="s">
        <v>78</v>
      </c>
      <c r="H170" s="19" t="s">
        <v>379</v>
      </c>
      <c r="I170" s="19" t="s">
        <v>78</v>
      </c>
      <c r="J170" s="19" t="s">
        <v>78</v>
      </c>
      <c r="K170" s="19" t="s">
        <v>78</v>
      </c>
      <c r="L170" s="19" t="s">
        <v>78</v>
      </c>
      <c r="M170" s="19" t="s">
        <v>78</v>
      </c>
      <c r="N170" s="19" t="s">
        <v>78</v>
      </c>
      <c r="O170" s="19"/>
      <c r="P170" s="19" t="s">
        <v>78</v>
      </c>
      <c r="Q170" s="19" t="s">
        <v>78</v>
      </c>
      <c r="R170" s="19" t="s">
        <v>78</v>
      </c>
      <c r="S170" s="20" t="s">
        <v>78</v>
      </c>
    </row>
    <row r="171" spans="1:19" x14ac:dyDescent="0.35">
      <c r="A171" s="82" t="s">
        <v>584</v>
      </c>
      <c r="B171" s="19">
        <v>1263840</v>
      </c>
      <c r="C171" s="19">
        <v>18040</v>
      </c>
      <c r="D171" s="19" t="s">
        <v>78</v>
      </c>
      <c r="E171" s="19" t="s">
        <v>78</v>
      </c>
      <c r="F171" s="19" t="s">
        <v>79</v>
      </c>
      <c r="G171" s="19" t="s">
        <v>78</v>
      </c>
      <c r="H171" s="19" t="s">
        <v>379</v>
      </c>
      <c r="I171" s="19" t="s">
        <v>78</v>
      </c>
      <c r="J171" s="19" t="s">
        <v>78</v>
      </c>
      <c r="K171" s="19" t="s">
        <v>78</v>
      </c>
      <c r="L171" s="19" t="s">
        <v>78</v>
      </c>
      <c r="M171" s="19" t="s">
        <v>78</v>
      </c>
      <c r="N171" s="19" t="s">
        <v>78</v>
      </c>
      <c r="O171" s="19"/>
      <c r="P171" s="19" t="s">
        <v>78</v>
      </c>
      <c r="Q171" s="19" t="s">
        <v>78</v>
      </c>
      <c r="R171" s="19" t="s">
        <v>78</v>
      </c>
      <c r="S171" s="20" t="s">
        <v>78</v>
      </c>
    </row>
    <row r="172" spans="1:19" x14ac:dyDescent="0.35">
      <c r="A172" s="82" t="s">
        <v>585</v>
      </c>
      <c r="B172" s="19">
        <v>1388160</v>
      </c>
      <c r="C172" s="19">
        <v>18240</v>
      </c>
      <c r="D172" s="19" t="s">
        <v>78</v>
      </c>
      <c r="E172" s="19" t="s">
        <v>78</v>
      </c>
      <c r="F172" s="19" t="s">
        <v>79</v>
      </c>
      <c r="G172" s="19" t="s">
        <v>78</v>
      </c>
      <c r="H172" s="19" t="s">
        <v>379</v>
      </c>
      <c r="I172" s="19" t="s">
        <v>78</v>
      </c>
      <c r="J172" s="19" t="s">
        <v>78</v>
      </c>
      <c r="K172" s="19" t="s">
        <v>78</v>
      </c>
      <c r="L172" s="19" t="s">
        <v>78</v>
      </c>
      <c r="M172" s="19" t="s">
        <v>78</v>
      </c>
      <c r="N172" s="19" t="s">
        <v>78</v>
      </c>
      <c r="O172" s="19"/>
      <c r="P172" s="19" t="s">
        <v>78</v>
      </c>
      <c r="Q172" s="19" t="s">
        <v>78</v>
      </c>
      <c r="R172" s="19" t="s">
        <v>78</v>
      </c>
      <c r="S172" s="20" t="s">
        <v>78</v>
      </c>
    </row>
    <row r="173" spans="1:19" x14ac:dyDescent="0.35">
      <c r="A173" s="82" t="s">
        <v>586</v>
      </c>
      <c r="B173" s="19">
        <v>1690640</v>
      </c>
      <c r="C173" s="19">
        <v>19480</v>
      </c>
      <c r="D173" s="19" t="s">
        <v>78</v>
      </c>
      <c r="E173" s="19" t="s">
        <v>343</v>
      </c>
      <c r="F173" s="19" t="s">
        <v>83</v>
      </c>
      <c r="G173" s="19" t="s">
        <v>283</v>
      </c>
      <c r="H173" s="19" t="s">
        <v>379</v>
      </c>
      <c r="I173" s="19" t="s">
        <v>78</v>
      </c>
      <c r="J173" s="19" t="s">
        <v>78</v>
      </c>
      <c r="K173" s="19" t="s">
        <v>78</v>
      </c>
      <c r="L173" s="19" t="s">
        <v>78</v>
      </c>
      <c r="M173" s="19" t="s">
        <v>78</v>
      </c>
      <c r="N173" s="19" t="s">
        <v>78</v>
      </c>
      <c r="O173" s="19"/>
      <c r="P173" s="19" t="s">
        <v>78</v>
      </c>
      <c r="Q173" s="19" t="s">
        <v>78</v>
      </c>
      <c r="R173" s="19" t="s">
        <v>78</v>
      </c>
      <c r="S173" s="20" t="s">
        <v>78</v>
      </c>
    </row>
    <row r="174" spans="1:19" x14ac:dyDescent="0.35">
      <c r="A174" s="82" t="s">
        <v>587</v>
      </c>
      <c r="B174" s="19">
        <v>1919080</v>
      </c>
      <c r="C174" s="19">
        <v>18360</v>
      </c>
      <c r="D174" s="19" t="s">
        <v>78</v>
      </c>
      <c r="E174" s="19" t="s">
        <v>78</v>
      </c>
      <c r="F174" s="19" t="s">
        <v>13</v>
      </c>
      <c r="G174" s="19" t="s">
        <v>78</v>
      </c>
      <c r="H174" s="19" t="s">
        <v>379</v>
      </c>
      <c r="I174" s="19" t="s">
        <v>78</v>
      </c>
      <c r="J174" s="19" t="s">
        <v>78</v>
      </c>
      <c r="K174" s="19" t="s">
        <v>78</v>
      </c>
      <c r="L174" s="19" t="s">
        <v>78</v>
      </c>
      <c r="M174" s="19" t="s">
        <v>78</v>
      </c>
      <c r="N174" s="19" t="s">
        <v>78</v>
      </c>
      <c r="O174" s="19"/>
      <c r="P174" s="19" t="s">
        <v>78</v>
      </c>
      <c r="Q174" s="19" t="s">
        <v>78</v>
      </c>
      <c r="R174" s="19" t="s">
        <v>78</v>
      </c>
      <c r="S174" s="20" t="s">
        <v>78</v>
      </c>
    </row>
    <row r="175" spans="1:19" x14ac:dyDescent="0.35">
      <c r="A175" s="82" t="s">
        <v>381</v>
      </c>
      <c r="B175" s="19">
        <v>1397400</v>
      </c>
      <c r="C175" s="19">
        <v>23960</v>
      </c>
      <c r="D175" s="19" t="s">
        <v>78</v>
      </c>
      <c r="E175" s="19" t="s">
        <v>413</v>
      </c>
      <c r="F175" s="19" t="s">
        <v>11</v>
      </c>
      <c r="G175" s="19" t="s">
        <v>306</v>
      </c>
      <c r="H175" s="19" t="s">
        <v>379</v>
      </c>
      <c r="I175" s="19" t="s">
        <v>78</v>
      </c>
      <c r="J175" s="19" t="s">
        <v>78</v>
      </c>
      <c r="K175" s="19" t="s">
        <v>78</v>
      </c>
      <c r="L175" s="19" t="s">
        <v>78</v>
      </c>
      <c r="M175" s="19" t="s">
        <v>78</v>
      </c>
      <c r="N175" s="19" t="s">
        <v>78</v>
      </c>
      <c r="O175" s="19"/>
      <c r="P175" s="19" t="s">
        <v>78</v>
      </c>
      <c r="Q175" s="19" t="s">
        <v>78</v>
      </c>
      <c r="R175" s="19" t="s">
        <v>78</v>
      </c>
      <c r="S175" s="20" t="s">
        <v>78</v>
      </c>
    </row>
    <row r="176" spans="1:19" x14ac:dyDescent="0.35">
      <c r="A176" s="81" t="s">
        <v>381</v>
      </c>
      <c r="B176" s="17">
        <v>1946520</v>
      </c>
      <c r="C176" s="17">
        <v>12440</v>
      </c>
      <c r="D176" s="17" t="s">
        <v>78</v>
      </c>
      <c r="E176" s="17" t="s">
        <v>78</v>
      </c>
      <c r="F176" s="17" t="s">
        <v>79</v>
      </c>
      <c r="G176" s="17" t="s">
        <v>78</v>
      </c>
      <c r="H176" s="17" t="s">
        <v>379</v>
      </c>
      <c r="I176" s="17" t="s">
        <v>78</v>
      </c>
      <c r="J176" s="17" t="s">
        <v>78</v>
      </c>
      <c r="K176" s="17" t="s">
        <v>78</v>
      </c>
      <c r="L176" s="17" t="s">
        <v>78</v>
      </c>
      <c r="M176" s="17" t="s">
        <v>78</v>
      </c>
      <c r="N176" s="17" t="s">
        <v>78</v>
      </c>
      <c r="O176" s="17"/>
      <c r="P176" s="17" t="s">
        <v>78</v>
      </c>
      <c r="Q176" s="17" t="s">
        <v>78</v>
      </c>
      <c r="R176" s="17" t="s">
        <v>78</v>
      </c>
      <c r="S176" s="18" t="s">
        <v>78</v>
      </c>
    </row>
    <row r="177" spans="1:19" x14ac:dyDescent="0.35">
      <c r="A177" s="82" t="s">
        <v>381</v>
      </c>
      <c r="B177" s="19">
        <v>1080120</v>
      </c>
      <c r="C177" s="19">
        <v>29440</v>
      </c>
      <c r="D177" s="19" t="s">
        <v>78</v>
      </c>
      <c r="E177" s="19" t="s">
        <v>413</v>
      </c>
      <c r="F177" s="19" t="s">
        <v>11</v>
      </c>
      <c r="G177" s="19" t="s">
        <v>282</v>
      </c>
      <c r="H177" s="19" t="s">
        <v>379</v>
      </c>
      <c r="I177" s="19" t="s">
        <v>78</v>
      </c>
      <c r="J177" s="19" t="s">
        <v>78</v>
      </c>
      <c r="K177" s="19" t="s">
        <v>78</v>
      </c>
      <c r="L177" s="19" t="s">
        <v>78</v>
      </c>
      <c r="M177" s="19" t="s">
        <v>78</v>
      </c>
      <c r="N177" s="19" t="s">
        <v>78</v>
      </c>
      <c r="O177" s="19"/>
      <c r="P177" s="19" t="s">
        <v>78</v>
      </c>
      <c r="Q177" s="19" t="s">
        <v>78</v>
      </c>
      <c r="R177" s="19" t="s">
        <v>78</v>
      </c>
      <c r="S177" s="20" t="s">
        <v>78</v>
      </c>
    </row>
    <row r="178" spans="1:19" x14ac:dyDescent="0.35">
      <c r="A178" s="82" t="s">
        <v>381</v>
      </c>
      <c r="B178" s="19">
        <v>346000</v>
      </c>
      <c r="C178" s="19">
        <v>19400</v>
      </c>
      <c r="D178" s="19" t="s">
        <v>78</v>
      </c>
      <c r="E178" s="19" t="s">
        <v>78</v>
      </c>
      <c r="F178" s="19" t="s">
        <v>79</v>
      </c>
      <c r="G178" s="19" t="s">
        <v>78</v>
      </c>
      <c r="H178" s="19" t="s">
        <v>379</v>
      </c>
      <c r="I178" s="19" t="s">
        <v>78</v>
      </c>
      <c r="J178" s="19" t="s">
        <v>78</v>
      </c>
      <c r="K178" s="19" t="s">
        <v>78</v>
      </c>
      <c r="L178" s="19" t="s">
        <v>78</v>
      </c>
      <c r="M178" s="19" t="s">
        <v>78</v>
      </c>
      <c r="N178" s="19" t="s">
        <v>78</v>
      </c>
      <c r="O178" s="19" t="s">
        <v>78</v>
      </c>
      <c r="P178" s="19" t="s">
        <v>78</v>
      </c>
      <c r="Q178" s="19" t="s">
        <v>78</v>
      </c>
      <c r="R178" s="19" t="s">
        <v>78</v>
      </c>
      <c r="S178" s="20" t="s">
        <v>78</v>
      </c>
    </row>
    <row r="179" spans="1:19" x14ac:dyDescent="0.35">
      <c r="A179" s="82" t="s">
        <v>588</v>
      </c>
      <c r="B179" s="19">
        <v>1937400</v>
      </c>
      <c r="C179" s="19">
        <v>14720</v>
      </c>
      <c r="D179" s="19" t="s">
        <v>78</v>
      </c>
      <c r="E179" s="19" t="s">
        <v>343</v>
      </c>
      <c r="F179" s="19" t="s">
        <v>11</v>
      </c>
      <c r="G179" s="19" t="s">
        <v>297</v>
      </c>
      <c r="H179" s="19" t="s">
        <v>379</v>
      </c>
      <c r="I179" s="19" t="s">
        <v>78</v>
      </c>
      <c r="J179" s="19" t="s">
        <v>78</v>
      </c>
      <c r="K179" s="19" t="s">
        <v>78</v>
      </c>
      <c r="L179" s="19" t="s">
        <v>78</v>
      </c>
      <c r="M179" s="19" t="s">
        <v>78</v>
      </c>
      <c r="N179" s="19" t="s">
        <v>78</v>
      </c>
      <c r="O179" s="19"/>
      <c r="P179" s="19" t="s">
        <v>78</v>
      </c>
      <c r="Q179" s="19" t="s">
        <v>78</v>
      </c>
      <c r="R179" s="19" t="s">
        <v>78</v>
      </c>
      <c r="S179" s="20" t="s">
        <v>78</v>
      </c>
    </row>
    <row r="180" spans="1:19" x14ac:dyDescent="0.35">
      <c r="A180" s="82" t="s">
        <v>589</v>
      </c>
      <c r="B180" s="19">
        <v>2010800</v>
      </c>
      <c r="C180" s="19">
        <v>23880</v>
      </c>
      <c r="D180" s="19" t="s">
        <v>78</v>
      </c>
      <c r="E180" s="19" t="s">
        <v>343</v>
      </c>
      <c r="F180" s="19" t="s">
        <v>83</v>
      </c>
      <c r="G180" s="19" t="s">
        <v>283</v>
      </c>
      <c r="H180" s="19" t="s">
        <v>379</v>
      </c>
      <c r="I180" s="19" t="s">
        <v>78</v>
      </c>
      <c r="J180" s="19" t="s">
        <v>78</v>
      </c>
      <c r="K180" s="19" t="s">
        <v>78</v>
      </c>
      <c r="L180" s="19" t="s">
        <v>78</v>
      </c>
      <c r="M180" s="19" t="s">
        <v>78</v>
      </c>
      <c r="N180" s="19" t="s">
        <v>78</v>
      </c>
      <c r="O180" s="19"/>
      <c r="P180" s="19" t="s">
        <v>78</v>
      </c>
      <c r="Q180" s="19" t="s">
        <v>78</v>
      </c>
      <c r="R180" s="19" t="s">
        <v>78</v>
      </c>
      <c r="S180" s="20" t="s">
        <v>78</v>
      </c>
    </row>
    <row r="181" spans="1:19" x14ac:dyDescent="0.35">
      <c r="A181" s="82" t="s">
        <v>590</v>
      </c>
      <c r="B181" s="19">
        <v>2044760</v>
      </c>
      <c r="C181" s="19">
        <v>25080</v>
      </c>
      <c r="D181" s="19" t="s">
        <v>78</v>
      </c>
      <c r="E181" s="19" t="s">
        <v>78</v>
      </c>
      <c r="F181" s="19" t="s">
        <v>13</v>
      </c>
      <c r="G181" s="19" t="s">
        <v>78</v>
      </c>
      <c r="H181" s="19" t="s">
        <v>379</v>
      </c>
      <c r="I181" s="19" t="s">
        <v>78</v>
      </c>
      <c r="J181" s="19" t="s">
        <v>78</v>
      </c>
      <c r="K181" s="19" t="s">
        <v>78</v>
      </c>
      <c r="L181" s="19" t="s">
        <v>78</v>
      </c>
      <c r="M181" s="19" t="s">
        <v>78</v>
      </c>
      <c r="N181" s="19" t="s">
        <v>78</v>
      </c>
      <c r="O181" s="19"/>
      <c r="P181" s="19" t="s">
        <v>78</v>
      </c>
      <c r="Q181" s="19" t="s">
        <v>78</v>
      </c>
      <c r="R181" s="19" t="s">
        <v>78</v>
      </c>
      <c r="S181" s="20" t="s">
        <v>78</v>
      </c>
    </row>
    <row r="182" spans="1:19" x14ac:dyDescent="0.35">
      <c r="A182" s="82" t="s">
        <v>591</v>
      </c>
      <c r="B182" s="19">
        <v>2067280</v>
      </c>
      <c r="C182" s="19">
        <v>13800</v>
      </c>
      <c r="D182" s="19" t="s">
        <v>78</v>
      </c>
      <c r="E182" s="19" t="s">
        <v>78</v>
      </c>
      <c r="F182" s="19" t="s">
        <v>13</v>
      </c>
      <c r="G182" s="19" t="s">
        <v>78</v>
      </c>
      <c r="H182" s="19" t="s">
        <v>379</v>
      </c>
      <c r="I182" s="19" t="s">
        <v>78</v>
      </c>
      <c r="J182" s="19" t="s">
        <v>78</v>
      </c>
      <c r="K182" s="19" t="s">
        <v>78</v>
      </c>
      <c r="L182" s="19" t="s">
        <v>78</v>
      </c>
      <c r="M182" s="19" t="s">
        <v>78</v>
      </c>
      <c r="N182" s="19" t="s">
        <v>78</v>
      </c>
      <c r="O182" s="19"/>
      <c r="P182" s="19" t="s">
        <v>78</v>
      </c>
      <c r="Q182" s="19" t="s">
        <v>78</v>
      </c>
      <c r="R182" s="19" t="s">
        <v>78</v>
      </c>
      <c r="S182" s="20" t="s">
        <v>78</v>
      </c>
    </row>
    <row r="183" spans="1:19" x14ac:dyDescent="0.35">
      <c r="A183" s="81" t="s">
        <v>414</v>
      </c>
      <c r="B183" s="17">
        <v>1469640</v>
      </c>
      <c r="C183" s="17">
        <v>23400</v>
      </c>
      <c r="D183" s="17" t="s">
        <v>78</v>
      </c>
      <c r="E183" s="17" t="s">
        <v>413</v>
      </c>
      <c r="F183" s="17" t="s">
        <v>83</v>
      </c>
      <c r="G183" s="17" t="s">
        <v>17</v>
      </c>
      <c r="H183" s="17" t="s">
        <v>379</v>
      </c>
      <c r="I183" s="17" t="s">
        <v>78</v>
      </c>
      <c r="J183" s="17" t="s">
        <v>78</v>
      </c>
      <c r="K183" s="17" t="s">
        <v>78</v>
      </c>
      <c r="L183" s="17" t="s">
        <v>78</v>
      </c>
      <c r="M183" s="17" t="s">
        <v>78</v>
      </c>
      <c r="N183" s="17" t="s">
        <v>78</v>
      </c>
      <c r="O183" s="17"/>
      <c r="P183" s="17" t="s">
        <v>78</v>
      </c>
      <c r="Q183" s="17" t="s">
        <v>78</v>
      </c>
      <c r="R183" s="17" t="s">
        <v>78</v>
      </c>
      <c r="S183" s="18" t="s">
        <v>78</v>
      </c>
    </row>
    <row r="184" spans="1:19" x14ac:dyDescent="0.35">
      <c r="A184" s="82" t="s">
        <v>414</v>
      </c>
      <c r="B184" s="19">
        <v>2271360</v>
      </c>
      <c r="C184" s="19">
        <v>12120</v>
      </c>
      <c r="D184" s="19" t="s">
        <v>78</v>
      </c>
      <c r="E184" s="19" t="s">
        <v>78</v>
      </c>
      <c r="F184" s="19" t="s">
        <v>79</v>
      </c>
      <c r="G184" s="19" t="s">
        <v>78</v>
      </c>
      <c r="H184" s="19" t="s">
        <v>379</v>
      </c>
      <c r="I184" s="19" t="s">
        <v>78</v>
      </c>
      <c r="J184" s="19" t="s">
        <v>78</v>
      </c>
      <c r="K184" s="19" t="s">
        <v>78</v>
      </c>
      <c r="L184" s="19" t="s">
        <v>78</v>
      </c>
      <c r="M184" s="19" t="s">
        <v>78</v>
      </c>
      <c r="N184" s="19" t="s">
        <v>78</v>
      </c>
      <c r="O184" s="19"/>
      <c r="P184" s="19" t="s">
        <v>78</v>
      </c>
      <c r="Q184" s="19" t="s">
        <v>78</v>
      </c>
      <c r="R184" s="19" t="s">
        <v>78</v>
      </c>
      <c r="S184" s="20" t="s">
        <v>78</v>
      </c>
    </row>
    <row r="185" spans="1:19" x14ac:dyDescent="0.35">
      <c r="A185" s="82" t="s">
        <v>414</v>
      </c>
      <c r="B185" s="19">
        <v>1170880</v>
      </c>
      <c r="C185" s="19">
        <v>30840</v>
      </c>
      <c r="D185" s="19" t="s">
        <v>78</v>
      </c>
      <c r="E185" s="19" t="s">
        <v>78</v>
      </c>
      <c r="F185" s="19" t="s">
        <v>13</v>
      </c>
      <c r="G185" s="19" t="s">
        <v>78</v>
      </c>
      <c r="H185" s="19" t="s">
        <v>379</v>
      </c>
      <c r="I185" s="19" t="s">
        <v>78</v>
      </c>
      <c r="J185" s="19" t="s">
        <v>78</v>
      </c>
      <c r="K185" s="19" t="s">
        <v>78</v>
      </c>
      <c r="L185" s="19" t="s">
        <v>78</v>
      </c>
      <c r="M185" s="19" t="s">
        <v>78</v>
      </c>
      <c r="N185" s="19" t="s">
        <v>78</v>
      </c>
      <c r="O185" s="19"/>
      <c r="P185" s="19" t="s">
        <v>78</v>
      </c>
      <c r="Q185" s="19" t="s">
        <v>78</v>
      </c>
      <c r="R185" s="19" t="s">
        <v>78</v>
      </c>
      <c r="S185" s="20" t="s">
        <v>78</v>
      </c>
    </row>
    <row r="186" spans="1:19" x14ac:dyDescent="0.35">
      <c r="A186" s="82" t="s">
        <v>414</v>
      </c>
      <c r="B186" s="19">
        <v>484560</v>
      </c>
      <c r="C186" s="19">
        <v>11320</v>
      </c>
      <c r="D186" s="19" t="s">
        <v>78</v>
      </c>
      <c r="E186" s="19" t="s">
        <v>78</v>
      </c>
      <c r="F186" s="19" t="s">
        <v>13</v>
      </c>
      <c r="G186" s="19" t="s">
        <v>78</v>
      </c>
      <c r="H186" s="19" t="s">
        <v>379</v>
      </c>
      <c r="I186" s="19" t="s">
        <v>78</v>
      </c>
      <c r="J186" s="19" t="s">
        <v>78</v>
      </c>
      <c r="K186" s="19" t="s">
        <v>78</v>
      </c>
      <c r="L186" s="19" t="s">
        <v>78</v>
      </c>
      <c r="M186" s="19" t="s">
        <v>78</v>
      </c>
      <c r="N186" s="19" t="s">
        <v>78</v>
      </c>
      <c r="O186" s="19" t="s">
        <v>78</v>
      </c>
      <c r="P186" s="19" t="s">
        <v>78</v>
      </c>
      <c r="Q186" s="19" t="s">
        <v>78</v>
      </c>
      <c r="R186" s="19" t="s">
        <v>78</v>
      </c>
      <c r="S186" s="20" t="s">
        <v>78</v>
      </c>
    </row>
    <row r="187" spans="1:19" x14ac:dyDescent="0.35">
      <c r="A187" s="82" t="s">
        <v>412</v>
      </c>
      <c r="B187" s="19">
        <v>1575880</v>
      </c>
      <c r="C187" s="19">
        <v>17520</v>
      </c>
      <c r="D187" s="19" t="s">
        <v>78</v>
      </c>
      <c r="E187" s="19" t="s">
        <v>78</v>
      </c>
      <c r="F187" s="19" t="s">
        <v>13</v>
      </c>
      <c r="G187" s="19" t="s">
        <v>78</v>
      </c>
      <c r="H187" s="19" t="s">
        <v>379</v>
      </c>
      <c r="I187" s="19" t="s">
        <v>78</v>
      </c>
      <c r="J187" s="19" t="s">
        <v>78</v>
      </c>
      <c r="K187" s="19" t="s">
        <v>78</v>
      </c>
      <c r="L187" s="19" t="s">
        <v>78</v>
      </c>
      <c r="M187" s="19" t="s">
        <v>78</v>
      </c>
      <c r="N187" s="19" t="s">
        <v>78</v>
      </c>
      <c r="O187" s="19"/>
      <c r="P187" s="19" t="s">
        <v>78</v>
      </c>
      <c r="Q187" s="19" t="s">
        <v>78</v>
      </c>
      <c r="R187" s="19" t="s">
        <v>78</v>
      </c>
      <c r="S187" s="20" t="s">
        <v>78</v>
      </c>
    </row>
    <row r="188" spans="1:19" x14ac:dyDescent="0.35">
      <c r="A188" s="81" t="s">
        <v>412</v>
      </c>
      <c r="B188" s="17">
        <v>2308800</v>
      </c>
      <c r="C188" s="17">
        <v>7000</v>
      </c>
      <c r="D188" s="17" t="s">
        <v>78</v>
      </c>
      <c r="E188" s="17" t="s">
        <v>413</v>
      </c>
      <c r="F188" s="17" t="s">
        <v>11</v>
      </c>
      <c r="G188" s="17" t="s">
        <v>304</v>
      </c>
      <c r="H188" s="17" t="s">
        <v>379</v>
      </c>
      <c r="I188" s="17" t="s">
        <v>78</v>
      </c>
      <c r="J188" s="17" t="s">
        <v>78</v>
      </c>
      <c r="K188" s="17" t="s">
        <v>78</v>
      </c>
      <c r="L188" s="17" t="s">
        <v>78</v>
      </c>
      <c r="M188" s="17" t="s">
        <v>78</v>
      </c>
      <c r="N188" s="17" t="s">
        <v>78</v>
      </c>
      <c r="O188" s="17"/>
      <c r="P188" s="17" t="s">
        <v>78</v>
      </c>
      <c r="Q188" s="17" t="s">
        <v>78</v>
      </c>
      <c r="R188" s="17" t="s">
        <v>78</v>
      </c>
      <c r="S188" s="18" t="s">
        <v>78</v>
      </c>
    </row>
    <row r="189" spans="1:19" x14ac:dyDescent="0.35">
      <c r="A189" s="82" t="s">
        <v>412</v>
      </c>
      <c r="B189" s="19">
        <v>1197840</v>
      </c>
      <c r="C189" s="19">
        <v>15200</v>
      </c>
      <c r="D189" s="19" t="s">
        <v>78</v>
      </c>
      <c r="E189" s="19" t="s">
        <v>78</v>
      </c>
      <c r="F189" s="19" t="s">
        <v>79</v>
      </c>
      <c r="G189" s="19" t="s">
        <v>78</v>
      </c>
      <c r="H189" s="19" t="s">
        <v>379</v>
      </c>
      <c r="I189" s="19" t="s">
        <v>78</v>
      </c>
      <c r="J189" s="19" t="s">
        <v>78</v>
      </c>
      <c r="K189" s="19" t="s">
        <v>78</v>
      </c>
      <c r="L189" s="19" t="s">
        <v>78</v>
      </c>
      <c r="M189" s="19" t="s">
        <v>78</v>
      </c>
      <c r="N189" s="19" t="s">
        <v>78</v>
      </c>
      <c r="O189" s="19"/>
      <c r="P189" s="19" t="s">
        <v>78</v>
      </c>
      <c r="Q189" s="19" t="s">
        <v>78</v>
      </c>
      <c r="R189" s="19" t="s">
        <v>78</v>
      </c>
      <c r="S189" s="20" t="s">
        <v>78</v>
      </c>
    </row>
    <row r="190" spans="1:19" x14ac:dyDescent="0.35">
      <c r="A190" s="82" t="s">
        <v>412</v>
      </c>
      <c r="B190" s="19">
        <v>494280</v>
      </c>
      <c r="C190" s="19">
        <v>21200</v>
      </c>
      <c r="D190" s="19" t="s">
        <v>78</v>
      </c>
      <c r="E190" s="19" t="s">
        <v>413</v>
      </c>
      <c r="F190" s="19" t="s">
        <v>11</v>
      </c>
      <c r="G190" s="19" t="s">
        <v>17</v>
      </c>
      <c r="H190" s="19" t="s">
        <v>379</v>
      </c>
      <c r="I190" s="19" t="s">
        <v>78</v>
      </c>
      <c r="J190" s="19" t="s">
        <v>78</v>
      </c>
      <c r="K190" s="19" t="s">
        <v>78</v>
      </c>
      <c r="L190" s="19" t="s">
        <v>78</v>
      </c>
      <c r="M190" s="19" t="s">
        <v>78</v>
      </c>
      <c r="N190" s="19" t="s">
        <v>78</v>
      </c>
      <c r="O190" s="19" t="s">
        <v>78</v>
      </c>
      <c r="P190" s="19" t="s">
        <v>78</v>
      </c>
      <c r="Q190" s="19" t="s">
        <v>78</v>
      </c>
      <c r="R190" s="19" t="s">
        <v>78</v>
      </c>
      <c r="S190" s="20" t="s">
        <v>78</v>
      </c>
    </row>
    <row r="191" spans="1:19" x14ac:dyDescent="0.35">
      <c r="A191" s="81" t="s">
        <v>554</v>
      </c>
      <c r="B191" s="17">
        <v>1589800</v>
      </c>
      <c r="C191" s="17">
        <v>9320</v>
      </c>
      <c r="D191" s="17" t="s">
        <v>78</v>
      </c>
      <c r="E191" s="17" t="s">
        <v>413</v>
      </c>
      <c r="F191" s="17" t="s">
        <v>83</v>
      </c>
      <c r="G191" s="17" t="s">
        <v>304</v>
      </c>
      <c r="H191" s="17" t="s">
        <v>379</v>
      </c>
      <c r="I191" s="17" t="s">
        <v>78</v>
      </c>
      <c r="J191" s="17" t="s">
        <v>78</v>
      </c>
      <c r="K191" s="17" t="s">
        <v>78</v>
      </c>
      <c r="L191" s="17" t="s">
        <v>78</v>
      </c>
      <c r="M191" s="17" t="s">
        <v>78</v>
      </c>
      <c r="N191" s="17" t="s">
        <v>78</v>
      </c>
      <c r="O191" s="17"/>
      <c r="P191" s="17" t="s">
        <v>78</v>
      </c>
      <c r="Q191" s="17" t="s">
        <v>78</v>
      </c>
      <c r="R191" s="17" t="s">
        <v>78</v>
      </c>
      <c r="S191" s="18" t="s">
        <v>78</v>
      </c>
    </row>
    <row r="192" spans="1:19" x14ac:dyDescent="0.35">
      <c r="A192" s="82" t="s">
        <v>554</v>
      </c>
      <c r="B192" s="19">
        <v>1252160</v>
      </c>
      <c r="C192" s="19">
        <v>18600</v>
      </c>
      <c r="D192" s="19" t="s">
        <v>78</v>
      </c>
      <c r="E192" s="19" t="s">
        <v>78</v>
      </c>
      <c r="F192" s="19" t="s">
        <v>79</v>
      </c>
      <c r="G192" s="19" t="s">
        <v>78</v>
      </c>
      <c r="H192" s="19" t="s">
        <v>379</v>
      </c>
      <c r="I192" s="19" t="s">
        <v>78</v>
      </c>
      <c r="J192" s="19" t="s">
        <v>78</v>
      </c>
      <c r="K192" s="19" t="s">
        <v>78</v>
      </c>
      <c r="L192" s="19" t="s">
        <v>78</v>
      </c>
      <c r="M192" s="19" t="s">
        <v>78</v>
      </c>
      <c r="N192" s="19" t="s">
        <v>78</v>
      </c>
      <c r="O192" s="19"/>
      <c r="P192" s="19" t="s">
        <v>78</v>
      </c>
      <c r="Q192" s="19" t="s">
        <v>78</v>
      </c>
      <c r="R192" s="19" t="s">
        <v>78</v>
      </c>
      <c r="S192" s="20" t="s">
        <v>78</v>
      </c>
    </row>
    <row r="193" spans="1:19" x14ac:dyDescent="0.35">
      <c r="A193" s="82" t="s">
        <v>553</v>
      </c>
      <c r="B193" s="19">
        <v>1619240</v>
      </c>
      <c r="C193" s="19">
        <v>25400</v>
      </c>
      <c r="D193" s="19" t="s">
        <v>78</v>
      </c>
      <c r="E193" s="19" t="s">
        <v>78</v>
      </c>
      <c r="F193" s="19" t="s">
        <v>13</v>
      </c>
      <c r="G193" s="19" t="s">
        <v>78</v>
      </c>
      <c r="H193" s="19" t="s">
        <v>379</v>
      </c>
      <c r="I193" s="19" t="s">
        <v>78</v>
      </c>
      <c r="J193" s="19" t="s">
        <v>78</v>
      </c>
      <c r="K193" s="19" t="s">
        <v>78</v>
      </c>
      <c r="L193" s="19" t="s">
        <v>78</v>
      </c>
      <c r="M193" s="19" t="s">
        <v>78</v>
      </c>
      <c r="N193" s="19" t="s">
        <v>78</v>
      </c>
      <c r="O193" s="19"/>
      <c r="P193" s="19" t="s">
        <v>78</v>
      </c>
      <c r="Q193" s="19" t="s">
        <v>78</v>
      </c>
      <c r="R193" s="19" t="s">
        <v>78</v>
      </c>
      <c r="S193" s="20" t="s">
        <v>78</v>
      </c>
    </row>
    <row r="194" spans="1:19" x14ac:dyDescent="0.35">
      <c r="A194" s="82" t="s">
        <v>553</v>
      </c>
      <c r="B194" s="19">
        <v>1420360</v>
      </c>
      <c r="C194" s="19">
        <v>41560</v>
      </c>
      <c r="D194" s="19" t="s">
        <v>78</v>
      </c>
      <c r="E194" s="19" t="s">
        <v>78</v>
      </c>
      <c r="F194" s="19" t="s">
        <v>79</v>
      </c>
      <c r="G194" s="19" t="s">
        <v>78</v>
      </c>
      <c r="H194" s="19" t="s">
        <v>379</v>
      </c>
      <c r="I194" s="19" t="s">
        <v>78</v>
      </c>
      <c r="J194" s="19" t="s">
        <v>78</v>
      </c>
      <c r="K194" s="19" t="s">
        <v>78</v>
      </c>
      <c r="L194" s="19" t="s">
        <v>78</v>
      </c>
      <c r="M194" s="19" t="s">
        <v>78</v>
      </c>
      <c r="N194" s="19" t="s">
        <v>78</v>
      </c>
      <c r="O194" s="19"/>
      <c r="P194" s="19" t="s">
        <v>78</v>
      </c>
      <c r="Q194" s="19" t="s">
        <v>78</v>
      </c>
      <c r="R194" s="19" t="s">
        <v>78</v>
      </c>
      <c r="S194" s="20" t="s">
        <v>78</v>
      </c>
    </row>
    <row r="195" spans="1:19" x14ac:dyDescent="0.35">
      <c r="A195" s="81" t="s">
        <v>552</v>
      </c>
      <c r="B195" s="17">
        <v>1648640</v>
      </c>
      <c r="C195" s="17">
        <v>17400</v>
      </c>
      <c r="D195" s="17" t="s">
        <v>78</v>
      </c>
      <c r="E195" s="17" t="s">
        <v>78</v>
      </c>
      <c r="F195" s="17" t="s">
        <v>13</v>
      </c>
      <c r="G195" s="17" t="s">
        <v>78</v>
      </c>
      <c r="H195" s="17" t="s">
        <v>379</v>
      </c>
      <c r="I195" s="17" t="s">
        <v>78</v>
      </c>
      <c r="J195" s="17" t="s">
        <v>78</v>
      </c>
      <c r="K195" s="17" t="s">
        <v>78</v>
      </c>
      <c r="L195" s="17" t="s">
        <v>78</v>
      </c>
      <c r="M195" s="17" t="s">
        <v>78</v>
      </c>
      <c r="N195" s="17" t="s">
        <v>78</v>
      </c>
      <c r="O195" s="17"/>
      <c r="P195" s="17" t="s">
        <v>78</v>
      </c>
      <c r="Q195" s="17" t="s">
        <v>78</v>
      </c>
      <c r="R195" s="17" t="s">
        <v>78</v>
      </c>
      <c r="S195" s="18" t="s">
        <v>78</v>
      </c>
    </row>
    <row r="196" spans="1:19" x14ac:dyDescent="0.35">
      <c r="A196" s="82" t="s">
        <v>552</v>
      </c>
      <c r="B196" s="19">
        <v>1508720</v>
      </c>
      <c r="C196" s="19">
        <v>7000</v>
      </c>
      <c r="D196" s="19" t="s">
        <v>78</v>
      </c>
      <c r="E196" s="19" t="s">
        <v>78</v>
      </c>
      <c r="F196" s="19" t="s">
        <v>79</v>
      </c>
      <c r="G196" s="19" t="s">
        <v>78</v>
      </c>
      <c r="H196" s="19" t="s">
        <v>379</v>
      </c>
      <c r="I196" s="19" t="s">
        <v>78</v>
      </c>
      <c r="J196" s="19" t="s">
        <v>78</v>
      </c>
      <c r="K196" s="19" t="s">
        <v>78</v>
      </c>
      <c r="L196" s="19" t="s">
        <v>78</v>
      </c>
      <c r="M196" s="19" t="s">
        <v>78</v>
      </c>
      <c r="N196" s="19" t="s">
        <v>78</v>
      </c>
      <c r="O196" s="19"/>
      <c r="P196" s="19" t="s">
        <v>78</v>
      </c>
      <c r="Q196" s="19" t="s">
        <v>78</v>
      </c>
      <c r="R196" s="19" t="s">
        <v>78</v>
      </c>
      <c r="S196" s="20" t="s">
        <v>78</v>
      </c>
    </row>
    <row r="197" spans="1:19" x14ac:dyDescent="0.35">
      <c r="A197" s="82" t="s">
        <v>551</v>
      </c>
      <c r="B197" s="19">
        <v>1650080</v>
      </c>
      <c r="C197" s="19">
        <v>29640</v>
      </c>
      <c r="D197" s="19" t="s">
        <v>78</v>
      </c>
      <c r="E197" s="19" t="s">
        <v>413</v>
      </c>
      <c r="F197" s="19" t="s">
        <v>11</v>
      </c>
      <c r="G197" s="19" t="s">
        <v>308</v>
      </c>
      <c r="H197" s="19" t="s">
        <v>379</v>
      </c>
      <c r="I197" s="19" t="s">
        <v>78</v>
      </c>
      <c r="J197" s="19" t="s">
        <v>78</v>
      </c>
      <c r="K197" s="19" t="s">
        <v>78</v>
      </c>
      <c r="L197" s="19" t="s">
        <v>78</v>
      </c>
      <c r="M197" s="19" t="s">
        <v>78</v>
      </c>
      <c r="N197" s="19" t="s">
        <v>78</v>
      </c>
      <c r="O197" s="19"/>
      <c r="P197" s="19" t="s">
        <v>78</v>
      </c>
      <c r="Q197" s="19" t="s">
        <v>78</v>
      </c>
      <c r="R197" s="19" t="s">
        <v>78</v>
      </c>
      <c r="S197" s="20" t="s">
        <v>78</v>
      </c>
    </row>
    <row r="198" spans="1:19" x14ac:dyDescent="0.35">
      <c r="A198" s="82" t="s">
        <v>551</v>
      </c>
      <c r="B198" s="19">
        <v>1674600</v>
      </c>
      <c r="C198" s="19">
        <v>16800</v>
      </c>
      <c r="D198" s="19" t="s">
        <v>78</v>
      </c>
      <c r="E198" s="19" t="s">
        <v>78</v>
      </c>
      <c r="F198" s="19" t="s">
        <v>13</v>
      </c>
      <c r="G198" s="19" t="s">
        <v>78</v>
      </c>
      <c r="H198" s="19" t="s">
        <v>379</v>
      </c>
      <c r="I198" s="19" t="s">
        <v>78</v>
      </c>
      <c r="J198" s="19" t="s">
        <v>78</v>
      </c>
      <c r="K198" s="19" t="s">
        <v>78</v>
      </c>
      <c r="L198" s="19" t="s">
        <v>78</v>
      </c>
      <c r="M198" s="19" t="s">
        <v>78</v>
      </c>
      <c r="N198" s="19" t="s">
        <v>78</v>
      </c>
      <c r="O198" s="19"/>
      <c r="P198" s="19" t="s">
        <v>78</v>
      </c>
      <c r="Q198" s="19" t="s">
        <v>78</v>
      </c>
      <c r="R198" s="19" t="s">
        <v>78</v>
      </c>
      <c r="S198" s="20" t="s">
        <v>78</v>
      </c>
    </row>
    <row r="199" spans="1:19" x14ac:dyDescent="0.35">
      <c r="A199" s="81" t="s">
        <v>550</v>
      </c>
      <c r="B199" s="17">
        <v>1701680</v>
      </c>
      <c r="C199" s="17">
        <v>21000</v>
      </c>
      <c r="D199" s="17" t="s">
        <v>78</v>
      </c>
      <c r="E199" s="17" t="s">
        <v>413</v>
      </c>
      <c r="F199" s="17" t="s">
        <v>11</v>
      </c>
      <c r="G199" s="17" t="s">
        <v>17</v>
      </c>
      <c r="H199" s="17" t="s">
        <v>379</v>
      </c>
      <c r="I199" s="17" t="s">
        <v>78</v>
      </c>
      <c r="J199" s="17" t="s">
        <v>78</v>
      </c>
      <c r="K199" s="17" t="s">
        <v>78</v>
      </c>
      <c r="L199" s="17" t="s">
        <v>78</v>
      </c>
      <c r="M199" s="17" t="s">
        <v>78</v>
      </c>
      <c r="N199" s="17" t="s">
        <v>78</v>
      </c>
      <c r="O199" s="17"/>
      <c r="P199" s="17" t="s">
        <v>78</v>
      </c>
      <c r="Q199" s="17" t="s">
        <v>78</v>
      </c>
      <c r="R199" s="17" t="s">
        <v>78</v>
      </c>
      <c r="S199" s="18" t="s">
        <v>78</v>
      </c>
    </row>
    <row r="200" spans="1:19" x14ac:dyDescent="0.35">
      <c r="A200" s="82" t="s">
        <v>550</v>
      </c>
      <c r="B200" s="19">
        <v>1714960</v>
      </c>
      <c r="C200" s="19">
        <v>15440</v>
      </c>
      <c r="D200" s="19" t="s">
        <v>78</v>
      </c>
      <c r="E200" s="19" t="s">
        <v>78</v>
      </c>
      <c r="F200" s="19" t="s">
        <v>79</v>
      </c>
      <c r="G200" s="19" t="s">
        <v>78</v>
      </c>
      <c r="H200" s="19" t="s">
        <v>379</v>
      </c>
      <c r="I200" s="19" t="s">
        <v>78</v>
      </c>
      <c r="J200" s="19" t="s">
        <v>78</v>
      </c>
      <c r="K200" s="19" t="s">
        <v>78</v>
      </c>
      <c r="L200" s="19" t="s">
        <v>78</v>
      </c>
      <c r="M200" s="19" t="s">
        <v>78</v>
      </c>
      <c r="N200" s="19" t="s">
        <v>78</v>
      </c>
      <c r="O200" s="19"/>
      <c r="P200" s="19" t="s">
        <v>78</v>
      </c>
      <c r="Q200" s="19" t="s">
        <v>78</v>
      </c>
      <c r="R200" s="19" t="s">
        <v>78</v>
      </c>
      <c r="S200" s="20" t="s">
        <v>78</v>
      </c>
    </row>
    <row r="201" spans="1:19" x14ac:dyDescent="0.35">
      <c r="A201" s="82" t="s">
        <v>494</v>
      </c>
      <c r="B201" s="19">
        <v>497600</v>
      </c>
      <c r="C201" s="19">
        <v>4400</v>
      </c>
      <c r="D201" s="19" t="s">
        <v>78</v>
      </c>
      <c r="E201" s="19" t="s">
        <v>343</v>
      </c>
      <c r="F201" s="19" t="s">
        <v>11</v>
      </c>
      <c r="G201" s="19" t="s">
        <v>95</v>
      </c>
      <c r="H201" s="19" t="s">
        <v>78</v>
      </c>
      <c r="I201" s="19" t="s">
        <v>78</v>
      </c>
      <c r="J201" s="19" t="s">
        <v>78</v>
      </c>
      <c r="K201" s="19" t="s">
        <v>78</v>
      </c>
      <c r="L201" s="19" t="s">
        <v>495</v>
      </c>
      <c r="M201" s="19" t="s">
        <v>78</v>
      </c>
      <c r="N201" s="19" t="s">
        <v>78</v>
      </c>
      <c r="O201" s="19"/>
      <c r="P201" s="19" t="s">
        <v>78</v>
      </c>
      <c r="Q201" s="19" t="s">
        <v>78</v>
      </c>
      <c r="R201" s="19" t="s">
        <v>78</v>
      </c>
      <c r="S201" s="20" t="s">
        <v>78</v>
      </c>
    </row>
    <row r="202" spans="1:19" x14ac:dyDescent="0.35">
      <c r="A202" s="82" t="s">
        <v>494</v>
      </c>
      <c r="B202" s="19">
        <v>45200</v>
      </c>
      <c r="C202" s="19">
        <v>5400</v>
      </c>
      <c r="D202" s="19" t="s">
        <v>78</v>
      </c>
      <c r="E202" s="19" t="s">
        <v>413</v>
      </c>
      <c r="F202" s="19" t="s">
        <v>11</v>
      </c>
      <c r="G202" s="19" t="s">
        <v>95</v>
      </c>
      <c r="H202" s="19" t="s">
        <v>78</v>
      </c>
      <c r="I202" s="19" t="s">
        <v>78</v>
      </c>
      <c r="J202" s="19" t="s">
        <v>78</v>
      </c>
      <c r="K202" s="19" t="s">
        <v>78</v>
      </c>
      <c r="L202" s="19" t="s">
        <v>495</v>
      </c>
      <c r="M202" s="19" t="s">
        <v>78</v>
      </c>
      <c r="N202" s="19" t="s">
        <v>78</v>
      </c>
      <c r="O202" s="19" t="s">
        <v>78</v>
      </c>
      <c r="P202" s="19" t="s">
        <v>78</v>
      </c>
      <c r="Q202" s="19" t="s">
        <v>78</v>
      </c>
      <c r="R202" s="19" t="s">
        <v>78</v>
      </c>
      <c r="S202" s="20" t="s">
        <v>78</v>
      </c>
    </row>
    <row r="203" spans="1:19" x14ac:dyDescent="0.35">
      <c r="A203" s="81" t="s">
        <v>547</v>
      </c>
      <c r="B203" s="17">
        <v>161920</v>
      </c>
      <c r="C203" s="17">
        <v>3960</v>
      </c>
      <c r="D203" s="17" t="s">
        <v>78</v>
      </c>
      <c r="E203" s="17" t="s">
        <v>413</v>
      </c>
      <c r="F203" s="17" t="s">
        <v>11</v>
      </c>
      <c r="G203" s="17" t="s">
        <v>95</v>
      </c>
      <c r="H203" s="17" t="s">
        <v>78</v>
      </c>
      <c r="I203" s="17" t="s">
        <v>78</v>
      </c>
      <c r="J203" s="17" t="s">
        <v>78</v>
      </c>
      <c r="K203" s="17" t="s">
        <v>78</v>
      </c>
      <c r="L203" s="17" t="s">
        <v>495</v>
      </c>
      <c r="M203" s="17" t="s">
        <v>78</v>
      </c>
      <c r="N203" s="17" t="s">
        <v>78</v>
      </c>
      <c r="O203" s="17"/>
      <c r="P203" s="17" t="s">
        <v>78</v>
      </c>
      <c r="Q203" s="17" t="s">
        <v>78</v>
      </c>
      <c r="R203" s="17" t="s">
        <v>78</v>
      </c>
      <c r="S203" s="18" t="s">
        <v>78</v>
      </c>
    </row>
    <row r="204" spans="1:19" x14ac:dyDescent="0.35">
      <c r="A204" s="82" t="s">
        <v>546</v>
      </c>
      <c r="B204" s="19">
        <v>858240</v>
      </c>
      <c r="C204" s="19">
        <v>1400</v>
      </c>
      <c r="D204" s="19" t="s">
        <v>78</v>
      </c>
      <c r="E204" s="19" t="s">
        <v>413</v>
      </c>
      <c r="F204" s="19" t="s">
        <v>11</v>
      </c>
      <c r="G204" s="19" t="s">
        <v>95</v>
      </c>
      <c r="H204" s="19" t="s">
        <v>78</v>
      </c>
      <c r="I204" s="19" t="s">
        <v>78</v>
      </c>
      <c r="J204" s="19" t="s">
        <v>78</v>
      </c>
      <c r="K204" s="19" t="s">
        <v>78</v>
      </c>
      <c r="L204" s="19" t="s">
        <v>495</v>
      </c>
      <c r="M204" s="19" t="s">
        <v>78</v>
      </c>
      <c r="N204" s="19" t="s">
        <v>78</v>
      </c>
      <c r="O204" s="19"/>
      <c r="P204" s="19" t="s">
        <v>78</v>
      </c>
      <c r="Q204" s="19" t="s">
        <v>78</v>
      </c>
      <c r="R204" s="19" t="s">
        <v>78</v>
      </c>
      <c r="S204" s="20" t="s">
        <v>78</v>
      </c>
    </row>
    <row r="205" spans="1:19" x14ac:dyDescent="0.35">
      <c r="A205" s="81" t="s">
        <v>96</v>
      </c>
      <c r="B205" s="17">
        <v>873040</v>
      </c>
      <c r="C205" s="17">
        <v>4560</v>
      </c>
      <c r="D205" s="17" t="s">
        <v>78</v>
      </c>
      <c r="E205" s="17" t="s">
        <v>346</v>
      </c>
      <c r="F205" s="17" t="s">
        <v>11</v>
      </c>
      <c r="G205" s="17" t="s">
        <v>95</v>
      </c>
      <c r="H205" s="17" t="s">
        <v>78</v>
      </c>
      <c r="I205" s="17" t="s">
        <v>78</v>
      </c>
      <c r="J205" s="17" t="s">
        <v>78</v>
      </c>
      <c r="K205" s="17" t="s">
        <v>78</v>
      </c>
      <c r="L205" s="17" t="s">
        <v>97</v>
      </c>
      <c r="M205" s="17" t="s">
        <v>78</v>
      </c>
      <c r="N205" s="17" t="s">
        <v>78</v>
      </c>
      <c r="O205" s="17"/>
      <c r="P205" s="17" t="s">
        <v>78</v>
      </c>
      <c r="Q205" s="17" t="s">
        <v>78</v>
      </c>
      <c r="R205" s="17" t="s">
        <v>78</v>
      </c>
      <c r="S205" s="18" t="s">
        <v>78</v>
      </c>
    </row>
    <row r="206" spans="1:19" x14ac:dyDescent="0.35">
      <c r="A206" s="82" t="s">
        <v>96</v>
      </c>
      <c r="B206" s="19">
        <v>1918640</v>
      </c>
      <c r="C206" s="19">
        <v>6160</v>
      </c>
      <c r="D206" s="19" t="s">
        <v>78</v>
      </c>
      <c r="E206" s="19" t="s">
        <v>346</v>
      </c>
      <c r="F206" s="19" t="s">
        <v>11</v>
      </c>
      <c r="G206" s="19" t="s">
        <v>95</v>
      </c>
      <c r="H206" s="19" t="s">
        <v>78</v>
      </c>
      <c r="I206" s="19" t="s">
        <v>78</v>
      </c>
      <c r="J206" s="19" t="s">
        <v>78</v>
      </c>
      <c r="K206" s="19" t="s">
        <v>78</v>
      </c>
      <c r="L206" s="19" t="s">
        <v>97</v>
      </c>
      <c r="M206" s="19" t="s">
        <v>78</v>
      </c>
      <c r="N206" s="19" t="s">
        <v>78</v>
      </c>
      <c r="O206" s="19"/>
      <c r="P206" s="19" t="s">
        <v>78</v>
      </c>
      <c r="Q206" s="19" t="s">
        <v>78</v>
      </c>
      <c r="R206" s="19" t="s">
        <v>78</v>
      </c>
      <c r="S206" s="20" t="s">
        <v>78</v>
      </c>
    </row>
    <row r="207" spans="1:19" x14ac:dyDescent="0.35">
      <c r="A207" s="81" t="s">
        <v>96</v>
      </c>
      <c r="B207" s="17">
        <v>267640</v>
      </c>
      <c r="C207" s="17">
        <v>3880</v>
      </c>
      <c r="D207" s="17" t="s">
        <v>78</v>
      </c>
      <c r="E207" s="17" t="s">
        <v>346</v>
      </c>
      <c r="F207" s="17" t="s">
        <v>11</v>
      </c>
      <c r="G207" s="17" t="s">
        <v>95</v>
      </c>
      <c r="H207" s="17" t="s">
        <v>78</v>
      </c>
      <c r="I207" s="17" t="s">
        <v>78</v>
      </c>
      <c r="J207" s="17" t="s">
        <v>78</v>
      </c>
      <c r="K207" s="17" t="s">
        <v>78</v>
      </c>
      <c r="L207" s="17" t="s">
        <v>97</v>
      </c>
      <c r="M207" s="17" t="s">
        <v>78</v>
      </c>
      <c r="N207" s="17" t="s">
        <v>78</v>
      </c>
      <c r="O207" s="17"/>
      <c r="P207" s="17" t="s">
        <v>78</v>
      </c>
      <c r="Q207" s="17" t="s">
        <v>78</v>
      </c>
      <c r="R207" s="17" t="s">
        <v>78</v>
      </c>
      <c r="S207" s="18" t="s">
        <v>78</v>
      </c>
    </row>
    <row r="208" spans="1:19" x14ac:dyDescent="0.35">
      <c r="A208" s="82" t="s">
        <v>96</v>
      </c>
      <c r="B208" s="19">
        <v>328760</v>
      </c>
      <c r="C208" s="19">
        <v>3360</v>
      </c>
      <c r="D208" s="19" t="s">
        <v>78</v>
      </c>
      <c r="E208" s="19" t="s">
        <v>346</v>
      </c>
      <c r="F208" s="19" t="s">
        <v>11</v>
      </c>
      <c r="G208" s="19" t="s">
        <v>95</v>
      </c>
      <c r="H208" s="19" t="s">
        <v>78</v>
      </c>
      <c r="I208" s="19" t="s">
        <v>78</v>
      </c>
      <c r="J208" s="19" t="s">
        <v>78</v>
      </c>
      <c r="K208" s="19" t="s">
        <v>78</v>
      </c>
      <c r="L208" s="19" t="s">
        <v>97</v>
      </c>
      <c r="M208" s="19" t="s">
        <v>78</v>
      </c>
      <c r="N208" s="19" t="s">
        <v>78</v>
      </c>
      <c r="O208" s="19"/>
      <c r="P208" s="19" t="s">
        <v>78</v>
      </c>
      <c r="Q208" s="19" t="s">
        <v>78</v>
      </c>
      <c r="R208" s="19" t="s">
        <v>78</v>
      </c>
      <c r="S208" s="20" t="s">
        <v>78</v>
      </c>
    </row>
    <row r="209" spans="1:19" x14ac:dyDescent="0.35">
      <c r="A209" s="82" t="s">
        <v>96</v>
      </c>
      <c r="B209" s="19">
        <v>655840</v>
      </c>
      <c r="C209" s="19">
        <v>9800</v>
      </c>
      <c r="D209" s="19" t="s">
        <v>78</v>
      </c>
      <c r="E209" s="19" t="s">
        <v>346</v>
      </c>
      <c r="F209" s="19" t="s">
        <v>11</v>
      </c>
      <c r="G209" s="19" t="s">
        <v>95</v>
      </c>
      <c r="H209" s="19" t="s">
        <v>78</v>
      </c>
      <c r="I209" s="19" t="s">
        <v>78</v>
      </c>
      <c r="J209" s="19" t="s">
        <v>78</v>
      </c>
      <c r="K209" s="19" t="s">
        <v>78</v>
      </c>
      <c r="L209" s="19" t="s">
        <v>97</v>
      </c>
      <c r="M209" s="19" t="s">
        <v>78</v>
      </c>
      <c r="N209" s="19" t="s">
        <v>78</v>
      </c>
      <c r="O209" s="19" t="s">
        <v>78</v>
      </c>
      <c r="P209" s="19" t="s">
        <v>78</v>
      </c>
      <c r="Q209" s="19" t="s">
        <v>78</v>
      </c>
      <c r="R209" s="19" t="s">
        <v>78</v>
      </c>
      <c r="S209" s="20" t="s">
        <v>78</v>
      </c>
    </row>
    <row r="210" spans="1:19" x14ac:dyDescent="0.35">
      <c r="A210" s="82" t="s">
        <v>442</v>
      </c>
      <c r="B210" s="19">
        <v>1577960</v>
      </c>
      <c r="C210" s="19">
        <v>5360</v>
      </c>
      <c r="D210" s="19" t="s">
        <v>78</v>
      </c>
      <c r="E210" s="19" t="s">
        <v>346</v>
      </c>
      <c r="F210" s="19" t="s">
        <v>11</v>
      </c>
      <c r="G210" s="19" t="s">
        <v>95</v>
      </c>
      <c r="H210" s="19" t="s">
        <v>78</v>
      </c>
      <c r="I210" s="19" t="s">
        <v>78</v>
      </c>
      <c r="J210" s="19" t="s">
        <v>78</v>
      </c>
      <c r="K210" s="19" t="s">
        <v>78</v>
      </c>
      <c r="L210" s="19" t="s">
        <v>97</v>
      </c>
      <c r="M210" s="19" t="s">
        <v>78</v>
      </c>
      <c r="N210" s="19" t="s">
        <v>78</v>
      </c>
      <c r="O210" s="19"/>
      <c r="P210" s="19" t="s">
        <v>78</v>
      </c>
      <c r="Q210" s="19" t="s">
        <v>78</v>
      </c>
      <c r="R210" s="19" t="s">
        <v>78</v>
      </c>
      <c r="S210" s="20" t="s">
        <v>78</v>
      </c>
    </row>
    <row r="211" spans="1:19" x14ac:dyDescent="0.35">
      <c r="A211" s="82" t="s">
        <v>442</v>
      </c>
      <c r="B211" s="19">
        <v>1404640</v>
      </c>
      <c r="C211" s="19">
        <v>3200</v>
      </c>
      <c r="D211" s="19" t="s">
        <v>78</v>
      </c>
      <c r="E211" s="19" t="s">
        <v>376</v>
      </c>
      <c r="F211" s="19" t="s">
        <v>11</v>
      </c>
      <c r="G211" s="19" t="s">
        <v>95</v>
      </c>
      <c r="H211" s="19" t="s">
        <v>78</v>
      </c>
      <c r="I211" s="19" t="s">
        <v>78</v>
      </c>
      <c r="J211" s="19" t="s">
        <v>78</v>
      </c>
      <c r="K211" s="19" t="s">
        <v>78</v>
      </c>
      <c r="L211" s="19" t="s">
        <v>97</v>
      </c>
      <c r="M211" s="19" t="s">
        <v>78</v>
      </c>
      <c r="N211" s="19" t="s">
        <v>78</v>
      </c>
      <c r="O211" s="19"/>
      <c r="P211" s="19" t="s">
        <v>78</v>
      </c>
      <c r="Q211" s="19" t="s">
        <v>78</v>
      </c>
      <c r="R211" s="19" t="s">
        <v>78</v>
      </c>
      <c r="S211" s="20" t="s">
        <v>78</v>
      </c>
    </row>
    <row r="212" spans="1:19" x14ac:dyDescent="0.35">
      <c r="A212" s="82" t="s">
        <v>442</v>
      </c>
      <c r="B212" s="19">
        <v>372080</v>
      </c>
      <c r="C212" s="19">
        <v>6360</v>
      </c>
      <c r="D212" s="19" t="s">
        <v>78</v>
      </c>
      <c r="E212" s="19" t="s">
        <v>346</v>
      </c>
      <c r="F212" s="19" t="s">
        <v>11</v>
      </c>
      <c r="G212" s="19" t="s">
        <v>95</v>
      </c>
      <c r="H212" s="19" t="s">
        <v>78</v>
      </c>
      <c r="I212" s="19" t="s">
        <v>78</v>
      </c>
      <c r="J212" s="19" t="s">
        <v>78</v>
      </c>
      <c r="K212" s="19" t="s">
        <v>78</v>
      </c>
      <c r="L212" s="19" t="s">
        <v>97</v>
      </c>
      <c r="M212" s="19" t="s">
        <v>78</v>
      </c>
      <c r="N212" s="19" t="s">
        <v>78</v>
      </c>
      <c r="O212" s="19" t="s">
        <v>78</v>
      </c>
      <c r="P212" s="19" t="s">
        <v>78</v>
      </c>
      <c r="Q212" s="19" t="s">
        <v>78</v>
      </c>
      <c r="R212" s="19" t="s">
        <v>78</v>
      </c>
      <c r="S212" s="20" t="s">
        <v>78</v>
      </c>
    </row>
    <row r="213" spans="1:19" x14ac:dyDescent="0.35">
      <c r="A213" s="81" t="s">
        <v>443</v>
      </c>
      <c r="B213" s="17">
        <v>393640</v>
      </c>
      <c r="C213" s="17">
        <v>4760</v>
      </c>
      <c r="D213" s="17" t="s">
        <v>78</v>
      </c>
      <c r="E213" s="17" t="s">
        <v>346</v>
      </c>
      <c r="F213" s="17" t="s">
        <v>11</v>
      </c>
      <c r="G213" s="17" t="s">
        <v>95</v>
      </c>
      <c r="H213" s="17" t="s">
        <v>78</v>
      </c>
      <c r="I213" s="17" t="s">
        <v>78</v>
      </c>
      <c r="J213" s="17" t="s">
        <v>78</v>
      </c>
      <c r="K213" s="17" t="s">
        <v>78</v>
      </c>
      <c r="L213" s="17" t="s">
        <v>97</v>
      </c>
      <c r="M213" s="17" t="s">
        <v>78</v>
      </c>
      <c r="N213" s="17" t="s">
        <v>78</v>
      </c>
      <c r="O213" s="17"/>
      <c r="P213" s="17" t="s">
        <v>78</v>
      </c>
      <c r="Q213" s="17" t="s">
        <v>78</v>
      </c>
      <c r="R213" s="17" t="s">
        <v>78</v>
      </c>
      <c r="S213" s="18" t="s">
        <v>78</v>
      </c>
    </row>
    <row r="214" spans="1:19" x14ac:dyDescent="0.35">
      <c r="A214" s="82" t="s">
        <v>443</v>
      </c>
      <c r="B214" s="19">
        <v>160760</v>
      </c>
      <c r="C214" s="19">
        <v>3640</v>
      </c>
      <c r="D214" s="19" t="s">
        <v>78</v>
      </c>
      <c r="E214" s="19" t="s">
        <v>346</v>
      </c>
      <c r="F214" s="19" t="s">
        <v>11</v>
      </c>
      <c r="G214" s="19" t="s">
        <v>95</v>
      </c>
      <c r="H214" s="19" t="s">
        <v>78</v>
      </c>
      <c r="I214" s="19" t="s">
        <v>78</v>
      </c>
      <c r="J214" s="19" t="s">
        <v>78</v>
      </c>
      <c r="K214" s="19" t="s">
        <v>78</v>
      </c>
      <c r="L214" s="19" t="s">
        <v>97</v>
      </c>
      <c r="M214" s="19" t="s">
        <v>78</v>
      </c>
      <c r="N214" s="19" t="s">
        <v>78</v>
      </c>
      <c r="O214" s="19"/>
      <c r="P214" s="19" t="s">
        <v>78</v>
      </c>
      <c r="Q214" s="19" t="s">
        <v>78</v>
      </c>
      <c r="R214" s="19" t="s">
        <v>78</v>
      </c>
      <c r="S214" s="20" t="s">
        <v>78</v>
      </c>
    </row>
    <row r="215" spans="1:19" x14ac:dyDescent="0.35">
      <c r="A215" s="82" t="s">
        <v>443</v>
      </c>
      <c r="B215" s="19">
        <v>861360</v>
      </c>
      <c r="C215" s="19">
        <v>6880</v>
      </c>
      <c r="D215" s="19" t="s">
        <v>78</v>
      </c>
      <c r="E215" s="19" t="s">
        <v>421</v>
      </c>
      <c r="F215" s="19" t="s">
        <v>11</v>
      </c>
      <c r="G215" s="19" t="s">
        <v>95</v>
      </c>
      <c r="H215" s="19" t="s">
        <v>78</v>
      </c>
      <c r="I215" s="19" t="s">
        <v>78</v>
      </c>
      <c r="J215" s="19" t="s">
        <v>78</v>
      </c>
      <c r="K215" s="19" t="s">
        <v>78</v>
      </c>
      <c r="L215" s="19" t="s">
        <v>97</v>
      </c>
      <c r="M215" s="19" t="s">
        <v>78</v>
      </c>
      <c r="N215" s="19" t="s">
        <v>78</v>
      </c>
      <c r="O215" s="19" t="s">
        <v>78</v>
      </c>
      <c r="P215" s="19" t="s">
        <v>78</v>
      </c>
      <c r="Q215" s="19" t="s">
        <v>78</v>
      </c>
      <c r="R215" s="19" t="s">
        <v>78</v>
      </c>
      <c r="S215" s="20" t="s">
        <v>78</v>
      </c>
    </row>
    <row r="216" spans="1:19" x14ac:dyDescent="0.35">
      <c r="A216" s="82" t="s">
        <v>441</v>
      </c>
      <c r="B216" s="19">
        <v>1112560</v>
      </c>
      <c r="C216" s="19">
        <v>3320</v>
      </c>
      <c r="D216" s="19" t="s">
        <v>78</v>
      </c>
      <c r="E216" s="19" t="s">
        <v>346</v>
      </c>
      <c r="F216" s="19" t="s">
        <v>11</v>
      </c>
      <c r="G216" s="19" t="s">
        <v>95</v>
      </c>
      <c r="H216" s="19" t="s">
        <v>78</v>
      </c>
      <c r="I216" s="19" t="s">
        <v>78</v>
      </c>
      <c r="J216" s="19" t="s">
        <v>78</v>
      </c>
      <c r="K216" s="19" t="s">
        <v>78</v>
      </c>
      <c r="L216" s="19" t="s">
        <v>97</v>
      </c>
      <c r="M216" s="19" t="s">
        <v>78</v>
      </c>
      <c r="N216" s="19" t="s">
        <v>78</v>
      </c>
      <c r="O216" s="19"/>
      <c r="P216" s="19" t="s">
        <v>78</v>
      </c>
      <c r="Q216" s="19" t="s">
        <v>78</v>
      </c>
      <c r="R216" s="19" t="s">
        <v>78</v>
      </c>
      <c r="S216" s="20" t="s">
        <v>78</v>
      </c>
    </row>
    <row r="217" spans="1:19" x14ac:dyDescent="0.35">
      <c r="A217" s="82" t="s">
        <v>441</v>
      </c>
      <c r="B217" s="19">
        <v>393040</v>
      </c>
      <c r="C217" s="19">
        <v>1680</v>
      </c>
      <c r="D217" s="19" t="s">
        <v>78</v>
      </c>
      <c r="E217" s="19" t="s">
        <v>346</v>
      </c>
      <c r="F217" s="19" t="s">
        <v>83</v>
      </c>
      <c r="G217" s="19" t="s">
        <v>95</v>
      </c>
      <c r="H217" s="19" t="s">
        <v>78</v>
      </c>
      <c r="I217" s="19" t="s">
        <v>78</v>
      </c>
      <c r="J217" s="19" t="s">
        <v>78</v>
      </c>
      <c r="K217" s="19" t="s">
        <v>78</v>
      </c>
      <c r="L217" s="19" t="s">
        <v>97</v>
      </c>
      <c r="M217" s="19" t="s">
        <v>78</v>
      </c>
      <c r="N217" s="19" t="s">
        <v>78</v>
      </c>
      <c r="O217" s="19"/>
      <c r="P217" s="19" t="s">
        <v>78</v>
      </c>
      <c r="Q217" s="19" t="s">
        <v>78</v>
      </c>
      <c r="R217" s="19" t="s">
        <v>78</v>
      </c>
      <c r="S217" s="20" t="s">
        <v>78</v>
      </c>
    </row>
    <row r="218" spans="1:19" x14ac:dyDescent="0.35">
      <c r="A218" s="82" t="s">
        <v>441</v>
      </c>
      <c r="B218" s="19">
        <v>938680</v>
      </c>
      <c r="C218" s="19">
        <v>2800</v>
      </c>
      <c r="D218" s="19" t="s">
        <v>78</v>
      </c>
      <c r="E218" s="19" t="s">
        <v>346</v>
      </c>
      <c r="F218" s="19" t="s">
        <v>11</v>
      </c>
      <c r="G218" s="19" t="s">
        <v>95</v>
      </c>
      <c r="H218" s="19" t="s">
        <v>78</v>
      </c>
      <c r="I218" s="19" t="s">
        <v>78</v>
      </c>
      <c r="J218" s="19" t="s">
        <v>78</v>
      </c>
      <c r="K218" s="19" t="s">
        <v>78</v>
      </c>
      <c r="L218" s="19" t="s">
        <v>97</v>
      </c>
      <c r="M218" s="19" t="s">
        <v>78</v>
      </c>
      <c r="N218" s="19" t="s">
        <v>78</v>
      </c>
      <c r="O218" s="19" t="s">
        <v>78</v>
      </c>
      <c r="P218" s="19" t="s">
        <v>78</v>
      </c>
      <c r="Q218" s="19" t="s">
        <v>78</v>
      </c>
      <c r="R218" s="19" t="s">
        <v>78</v>
      </c>
      <c r="S218" s="20" t="s">
        <v>78</v>
      </c>
    </row>
    <row r="219" spans="1:19" x14ac:dyDescent="0.35">
      <c r="A219" s="81" t="s">
        <v>545</v>
      </c>
      <c r="B219" s="17">
        <v>148760</v>
      </c>
      <c r="C219" s="17">
        <v>27840</v>
      </c>
      <c r="D219" s="17" t="s">
        <v>78</v>
      </c>
      <c r="E219" s="17" t="s">
        <v>346</v>
      </c>
      <c r="F219" s="17" t="s">
        <v>10</v>
      </c>
      <c r="G219" s="17" t="s">
        <v>95</v>
      </c>
      <c r="H219" s="17" t="s">
        <v>78</v>
      </c>
      <c r="I219" s="17" t="s">
        <v>78</v>
      </c>
      <c r="J219" s="17" t="s">
        <v>78</v>
      </c>
      <c r="K219" s="17" t="s">
        <v>78</v>
      </c>
      <c r="L219" s="17" t="s">
        <v>97</v>
      </c>
      <c r="M219" s="17" t="s">
        <v>78</v>
      </c>
      <c r="N219" s="17" t="s">
        <v>78</v>
      </c>
      <c r="O219" s="17"/>
      <c r="P219" s="17" t="s">
        <v>78</v>
      </c>
      <c r="Q219" s="17" t="s">
        <v>78</v>
      </c>
      <c r="R219" s="17" t="s">
        <v>78</v>
      </c>
      <c r="S219" s="18" t="s">
        <v>78</v>
      </c>
    </row>
    <row r="220" spans="1:19" x14ac:dyDescent="0.35">
      <c r="A220" s="82" t="s">
        <v>545</v>
      </c>
      <c r="B220" s="19">
        <v>647840</v>
      </c>
      <c r="C220" s="19">
        <v>2280</v>
      </c>
      <c r="D220" s="19" t="s">
        <v>78</v>
      </c>
      <c r="E220" s="19" t="s">
        <v>376</v>
      </c>
      <c r="F220" s="19" t="s">
        <v>11</v>
      </c>
      <c r="G220" s="19" t="s">
        <v>95</v>
      </c>
      <c r="H220" s="19" t="s">
        <v>78</v>
      </c>
      <c r="I220" s="19" t="s">
        <v>78</v>
      </c>
      <c r="J220" s="19" t="s">
        <v>78</v>
      </c>
      <c r="K220" s="19" t="s">
        <v>78</v>
      </c>
      <c r="L220" s="19" t="s">
        <v>97</v>
      </c>
      <c r="M220" s="19" t="s">
        <v>78</v>
      </c>
      <c r="N220" s="19" t="s">
        <v>78</v>
      </c>
      <c r="O220" s="19"/>
      <c r="P220" s="19" t="s">
        <v>78</v>
      </c>
      <c r="Q220" s="19" t="s">
        <v>78</v>
      </c>
      <c r="R220" s="19" t="s">
        <v>78</v>
      </c>
      <c r="S220" s="20" t="s">
        <v>78</v>
      </c>
    </row>
    <row r="221" spans="1:19" x14ac:dyDescent="0.35">
      <c r="A221" s="82" t="s">
        <v>98</v>
      </c>
      <c r="B221" s="19">
        <v>342520</v>
      </c>
      <c r="C221" s="19">
        <v>23920</v>
      </c>
      <c r="D221" s="19" t="s">
        <v>99</v>
      </c>
      <c r="E221" s="19" t="s">
        <v>439</v>
      </c>
      <c r="F221" s="19" t="s">
        <v>11</v>
      </c>
      <c r="G221" s="19" t="s">
        <v>282</v>
      </c>
      <c r="H221" s="19" t="s">
        <v>78</v>
      </c>
      <c r="I221" s="19" t="s">
        <v>78</v>
      </c>
      <c r="J221" s="19" t="s">
        <v>78</v>
      </c>
      <c r="K221" s="19" t="s">
        <v>318</v>
      </c>
      <c r="L221" s="19" t="s">
        <v>78</v>
      </c>
      <c r="M221" s="19" t="s">
        <v>78</v>
      </c>
      <c r="N221" s="19" t="s">
        <v>78</v>
      </c>
      <c r="O221" s="19"/>
      <c r="P221" s="19" t="s">
        <v>78</v>
      </c>
      <c r="Q221" s="19" t="s">
        <v>78</v>
      </c>
      <c r="R221" s="19" t="s">
        <v>78</v>
      </c>
      <c r="S221" s="20" t="s">
        <v>78</v>
      </c>
    </row>
    <row r="222" spans="1:19" x14ac:dyDescent="0.35">
      <c r="A222" s="81" t="s">
        <v>98</v>
      </c>
      <c r="B222" s="17">
        <v>676160</v>
      </c>
      <c r="C222" s="17">
        <v>25920</v>
      </c>
      <c r="D222" s="17" t="s">
        <v>99</v>
      </c>
      <c r="E222" s="17" t="s">
        <v>421</v>
      </c>
      <c r="F222" s="17" t="s">
        <v>11</v>
      </c>
      <c r="G222" s="17" t="s">
        <v>283</v>
      </c>
      <c r="H222" s="17" t="s">
        <v>78</v>
      </c>
      <c r="I222" s="17" t="s">
        <v>78</v>
      </c>
      <c r="J222" s="17" t="s">
        <v>78</v>
      </c>
      <c r="K222" s="17" t="s">
        <v>417</v>
      </c>
      <c r="L222" s="17" t="s">
        <v>78</v>
      </c>
      <c r="M222" s="17" t="s">
        <v>78</v>
      </c>
      <c r="N222" s="17" t="s">
        <v>78</v>
      </c>
      <c r="O222" s="17"/>
      <c r="P222" s="17" t="s">
        <v>78</v>
      </c>
      <c r="Q222" s="17" t="s">
        <v>78</v>
      </c>
      <c r="R222" s="17" t="s">
        <v>78</v>
      </c>
      <c r="S222" s="18" t="s">
        <v>78</v>
      </c>
    </row>
    <row r="223" spans="1:19" x14ac:dyDescent="0.35">
      <c r="A223" s="81" t="s">
        <v>98</v>
      </c>
      <c r="B223" s="17">
        <v>35720</v>
      </c>
      <c r="C223" s="17">
        <v>22520</v>
      </c>
      <c r="D223" s="17" t="s">
        <v>99</v>
      </c>
      <c r="E223" s="17" t="s">
        <v>348</v>
      </c>
      <c r="F223" s="17" t="s">
        <v>11</v>
      </c>
      <c r="G223" s="17" t="s">
        <v>17</v>
      </c>
      <c r="H223" s="17" t="s">
        <v>78</v>
      </c>
      <c r="I223" s="17" t="s">
        <v>78</v>
      </c>
      <c r="J223" s="17" t="s">
        <v>78</v>
      </c>
      <c r="K223" s="17" t="s">
        <v>345</v>
      </c>
      <c r="L223" s="17" t="s">
        <v>78</v>
      </c>
      <c r="M223" s="17" t="s">
        <v>78</v>
      </c>
      <c r="N223" s="17" t="s">
        <v>78</v>
      </c>
      <c r="O223" s="17"/>
      <c r="P223" s="17" t="s">
        <v>78</v>
      </c>
      <c r="Q223" s="17" t="s">
        <v>78</v>
      </c>
      <c r="R223" s="17" t="s">
        <v>78</v>
      </c>
      <c r="S223" s="18" t="s">
        <v>78</v>
      </c>
    </row>
    <row r="224" spans="1:19" x14ac:dyDescent="0.35">
      <c r="A224" s="82" t="s">
        <v>98</v>
      </c>
      <c r="B224" s="19">
        <v>38360</v>
      </c>
      <c r="C224" s="19">
        <v>14680</v>
      </c>
      <c r="D224" s="19" t="s">
        <v>99</v>
      </c>
      <c r="E224" s="19" t="s">
        <v>376</v>
      </c>
      <c r="F224" s="19" t="s">
        <v>13</v>
      </c>
      <c r="G224" s="19" t="s">
        <v>78</v>
      </c>
      <c r="H224" s="19" t="s">
        <v>78</v>
      </c>
      <c r="I224" s="19" t="s">
        <v>78</v>
      </c>
      <c r="J224" s="19" t="s">
        <v>78</v>
      </c>
      <c r="K224" s="19" t="s">
        <v>133</v>
      </c>
      <c r="L224" s="19" t="s">
        <v>78</v>
      </c>
      <c r="M224" s="19" t="s">
        <v>78</v>
      </c>
      <c r="N224" s="19" t="s">
        <v>78</v>
      </c>
      <c r="O224" s="19"/>
      <c r="P224" s="19" t="s">
        <v>78</v>
      </c>
      <c r="Q224" s="19" t="s">
        <v>78</v>
      </c>
      <c r="R224" s="19" t="s">
        <v>78</v>
      </c>
      <c r="S224" s="20" t="s">
        <v>78</v>
      </c>
    </row>
    <row r="225" spans="1:19" x14ac:dyDescent="0.35">
      <c r="A225" s="82" t="s">
        <v>98</v>
      </c>
      <c r="B225" s="19">
        <v>394880</v>
      </c>
      <c r="C225" s="19">
        <v>14760</v>
      </c>
      <c r="D225" s="19" t="s">
        <v>99</v>
      </c>
      <c r="E225" s="19" t="s">
        <v>421</v>
      </c>
      <c r="F225" s="19" t="s">
        <v>13</v>
      </c>
      <c r="G225" s="19" t="s">
        <v>78</v>
      </c>
      <c r="H225" s="19" t="s">
        <v>78</v>
      </c>
      <c r="I225" s="19" t="s">
        <v>78</v>
      </c>
      <c r="J225" s="19" t="s">
        <v>78</v>
      </c>
      <c r="K225" s="19" t="s">
        <v>319</v>
      </c>
      <c r="L225" s="19" t="s">
        <v>78</v>
      </c>
      <c r="M225" s="19" t="s">
        <v>78</v>
      </c>
      <c r="N225" s="19" t="s">
        <v>78</v>
      </c>
      <c r="O225" s="19" t="s">
        <v>78</v>
      </c>
      <c r="P225" s="19" t="s">
        <v>78</v>
      </c>
      <c r="Q225" s="19" t="s">
        <v>78</v>
      </c>
      <c r="R225" s="19" t="s">
        <v>78</v>
      </c>
      <c r="S225" s="20" t="s">
        <v>78</v>
      </c>
    </row>
    <row r="226" spans="1:19" x14ac:dyDescent="0.35">
      <c r="A226" s="81" t="s">
        <v>100</v>
      </c>
      <c r="B226" s="17">
        <v>988960</v>
      </c>
      <c r="C226" s="17">
        <v>24080</v>
      </c>
      <c r="D226" s="17" t="s">
        <v>99</v>
      </c>
      <c r="E226" s="17" t="s">
        <v>344</v>
      </c>
      <c r="F226" s="17" t="s">
        <v>10</v>
      </c>
      <c r="G226" s="17" t="s">
        <v>301</v>
      </c>
      <c r="H226" s="17" t="s">
        <v>78</v>
      </c>
      <c r="I226" s="17" t="s">
        <v>78</v>
      </c>
      <c r="J226" s="17" t="s">
        <v>78</v>
      </c>
      <c r="K226" s="17" t="s">
        <v>318</v>
      </c>
      <c r="L226" s="17" t="s">
        <v>78</v>
      </c>
      <c r="M226" s="17" t="s">
        <v>78</v>
      </c>
      <c r="N226" s="17" t="s">
        <v>78</v>
      </c>
      <c r="O226" s="17"/>
      <c r="P226" s="17" t="s">
        <v>78</v>
      </c>
      <c r="Q226" s="17" t="s">
        <v>78</v>
      </c>
      <c r="R226" s="17" t="s">
        <v>78</v>
      </c>
      <c r="S226" s="18" t="s">
        <v>78</v>
      </c>
    </row>
    <row r="227" spans="1:19" x14ac:dyDescent="0.35">
      <c r="A227" s="81" t="s">
        <v>100</v>
      </c>
      <c r="B227" s="17">
        <v>1688400</v>
      </c>
      <c r="C227" s="17">
        <v>18960</v>
      </c>
      <c r="D227" s="17" t="s">
        <v>99</v>
      </c>
      <c r="E227" s="17" t="s">
        <v>347</v>
      </c>
      <c r="F227" s="17" t="s">
        <v>11</v>
      </c>
      <c r="G227" s="17" t="s">
        <v>17</v>
      </c>
      <c r="H227" s="17" t="s">
        <v>78</v>
      </c>
      <c r="I227" s="17" t="s">
        <v>78</v>
      </c>
      <c r="J227" s="17" t="s">
        <v>78</v>
      </c>
      <c r="K227" s="17" t="s">
        <v>322</v>
      </c>
      <c r="L227" s="17" t="s">
        <v>78</v>
      </c>
      <c r="M227" s="17" t="s">
        <v>78</v>
      </c>
      <c r="N227" s="17" t="s">
        <v>78</v>
      </c>
      <c r="O227" s="17"/>
      <c r="P227" s="17" t="s">
        <v>78</v>
      </c>
      <c r="Q227" s="17" t="s">
        <v>78</v>
      </c>
      <c r="R227" s="17" t="s">
        <v>78</v>
      </c>
      <c r="S227" s="18" t="s">
        <v>78</v>
      </c>
    </row>
    <row r="228" spans="1:19" x14ac:dyDescent="0.35">
      <c r="A228" s="82" t="s">
        <v>100</v>
      </c>
      <c r="B228" s="19">
        <v>748480</v>
      </c>
      <c r="C228" s="19">
        <v>10520</v>
      </c>
      <c r="D228" s="19" t="s">
        <v>99</v>
      </c>
      <c r="E228" s="19" t="s">
        <v>415</v>
      </c>
      <c r="F228" s="19" t="s">
        <v>79</v>
      </c>
      <c r="G228" s="19" t="s">
        <v>78</v>
      </c>
      <c r="H228" s="19" t="s">
        <v>78</v>
      </c>
      <c r="I228" s="19" t="s">
        <v>78</v>
      </c>
      <c r="J228" s="19" t="s">
        <v>78</v>
      </c>
      <c r="K228" s="19" t="s">
        <v>317</v>
      </c>
      <c r="L228" s="19" t="s">
        <v>78</v>
      </c>
      <c r="M228" s="19" t="s">
        <v>78</v>
      </c>
      <c r="N228" s="19" t="s">
        <v>78</v>
      </c>
      <c r="O228" s="19"/>
      <c r="P228" s="19" t="s">
        <v>78</v>
      </c>
      <c r="Q228" s="19" t="s">
        <v>78</v>
      </c>
      <c r="R228" s="19" t="s">
        <v>209</v>
      </c>
      <c r="S228" s="20" t="s">
        <v>78</v>
      </c>
    </row>
    <row r="229" spans="1:19" x14ac:dyDescent="0.35">
      <c r="A229" s="82" t="s">
        <v>100</v>
      </c>
      <c r="B229" s="19">
        <v>717840</v>
      </c>
      <c r="C229" s="19">
        <v>12640</v>
      </c>
      <c r="D229" s="19" t="s">
        <v>99</v>
      </c>
      <c r="E229" s="19" t="s">
        <v>348</v>
      </c>
      <c r="F229" s="19" t="s">
        <v>83</v>
      </c>
      <c r="G229" s="19" t="s">
        <v>17</v>
      </c>
      <c r="H229" s="19" t="s">
        <v>78</v>
      </c>
      <c r="I229" s="19" t="s">
        <v>78</v>
      </c>
      <c r="J229" s="19" t="s">
        <v>78</v>
      </c>
      <c r="K229" s="19" t="s">
        <v>345</v>
      </c>
      <c r="L229" s="19" t="s">
        <v>78</v>
      </c>
      <c r="M229" s="19" t="s">
        <v>78</v>
      </c>
      <c r="N229" s="19" t="s">
        <v>78</v>
      </c>
      <c r="O229" s="19"/>
      <c r="P229" s="19" t="s">
        <v>78</v>
      </c>
      <c r="Q229" s="19" t="s">
        <v>78</v>
      </c>
      <c r="R229" s="19" t="s">
        <v>78</v>
      </c>
      <c r="S229" s="20" t="s">
        <v>78</v>
      </c>
    </row>
    <row r="230" spans="1:19" x14ac:dyDescent="0.35">
      <c r="A230" s="82" t="s">
        <v>100</v>
      </c>
      <c r="B230" s="19">
        <v>1199000</v>
      </c>
      <c r="C230" s="19">
        <v>20840</v>
      </c>
      <c r="D230" s="19" t="s">
        <v>99</v>
      </c>
      <c r="E230" s="19" t="s">
        <v>439</v>
      </c>
      <c r="F230" s="19" t="s">
        <v>11</v>
      </c>
      <c r="G230" s="19" t="s">
        <v>302</v>
      </c>
      <c r="H230" s="19" t="s">
        <v>78</v>
      </c>
      <c r="I230" s="19" t="s">
        <v>78</v>
      </c>
      <c r="J230" s="19" t="s">
        <v>78</v>
      </c>
      <c r="K230" s="19" t="s">
        <v>319</v>
      </c>
      <c r="L230" s="19" t="s">
        <v>78</v>
      </c>
      <c r="M230" s="19" t="s">
        <v>78</v>
      </c>
      <c r="N230" s="19" t="s">
        <v>78</v>
      </c>
      <c r="O230" s="19" t="s">
        <v>78</v>
      </c>
      <c r="P230" s="19" t="s">
        <v>78</v>
      </c>
      <c r="Q230" s="19" t="s">
        <v>78</v>
      </c>
      <c r="R230" s="19" t="s">
        <v>78</v>
      </c>
      <c r="S230" s="20" t="s">
        <v>78</v>
      </c>
    </row>
    <row r="231" spans="1:19" x14ac:dyDescent="0.35">
      <c r="A231" s="82" t="s">
        <v>101</v>
      </c>
      <c r="B231" s="19">
        <v>1132120</v>
      </c>
      <c r="C231" s="19">
        <v>14880</v>
      </c>
      <c r="D231" s="19" t="s">
        <v>99</v>
      </c>
      <c r="E231" s="19" t="s">
        <v>346</v>
      </c>
      <c r="F231" s="19" t="s">
        <v>79</v>
      </c>
      <c r="G231" s="19" t="s">
        <v>78</v>
      </c>
      <c r="H231" s="19" t="s">
        <v>78</v>
      </c>
      <c r="I231" s="19" t="s">
        <v>78</v>
      </c>
      <c r="J231" s="19" t="s">
        <v>78</v>
      </c>
      <c r="K231" s="19" t="s">
        <v>78</v>
      </c>
      <c r="L231" s="19" t="s">
        <v>78</v>
      </c>
      <c r="M231" s="19" t="s">
        <v>78</v>
      </c>
      <c r="N231" s="19" t="s">
        <v>78</v>
      </c>
      <c r="O231" s="19"/>
      <c r="P231" s="19" t="s">
        <v>78</v>
      </c>
      <c r="Q231" s="19" t="s">
        <v>78</v>
      </c>
      <c r="R231" s="19" t="s">
        <v>151</v>
      </c>
      <c r="S231" s="20" t="s">
        <v>78</v>
      </c>
    </row>
    <row r="232" spans="1:19" x14ac:dyDescent="0.35">
      <c r="A232" s="82" t="s">
        <v>101</v>
      </c>
      <c r="B232" s="19">
        <v>1106840</v>
      </c>
      <c r="C232" s="19">
        <v>27640</v>
      </c>
      <c r="D232" s="19" t="s">
        <v>99</v>
      </c>
      <c r="E232" s="19" t="s">
        <v>421</v>
      </c>
      <c r="F232" s="19" t="s">
        <v>277</v>
      </c>
      <c r="G232" s="19" t="s">
        <v>296</v>
      </c>
      <c r="H232" s="19" t="s">
        <v>78</v>
      </c>
      <c r="I232" s="19" t="s">
        <v>78</v>
      </c>
      <c r="J232" s="19" t="s">
        <v>78</v>
      </c>
      <c r="K232" s="19" t="s">
        <v>417</v>
      </c>
      <c r="L232" s="19" t="s">
        <v>78</v>
      </c>
      <c r="M232" s="19" t="s">
        <v>78</v>
      </c>
      <c r="N232" s="19" t="s">
        <v>78</v>
      </c>
      <c r="O232" s="19"/>
      <c r="P232" s="19" t="s">
        <v>78</v>
      </c>
      <c r="Q232" s="19" t="s">
        <v>78</v>
      </c>
      <c r="R232" s="19" t="s">
        <v>78</v>
      </c>
      <c r="S232" s="20" t="s">
        <v>78</v>
      </c>
    </row>
    <row r="233" spans="1:19" x14ac:dyDescent="0.35">
      <c r="A233" s="82" t="s">
        <v>101</v>
      </c>
      <c r="B233" s="19">
        <v>988440</v>
      </c>
      <c r="C233" s="19">
        <v>11880</v>
      </c>
      <c r="D233" s="19" t="s">
        <v>99</v>
      </c>
      <c r="E233" s="19" t="s">
        <v>439</v>
      </c>
      <c r="F233" s="19" t="s">
        <v>277</v>
      </c>
      <c r="G233" s="19" t="s">
        <v>308</v>
      </c>
      <c r="H233" s="19" t="s">
        <v>78</v>
      </c>
      <c r="I233" s="19" t="s">
        <v>78</v>
      </c>
      <c r="J233" s="19" t="s">
        <v>78</v>
      </c>
      <c r="K233" s="19" t="s">
        <v>429</v>
      </c>
      <c r="L233" s="19" t="s">
        <v>78</v>
      </c>
      <c r="M233" s="19" t="s">
        <v>78</v>
      </c>
      <c r="N233" s="19" t="s">
        <v>78</v>
      </c>
      <c r="O233" s="19"/>
      <c r="P233" s="19" t="s">
        <v>78</v>
      </c>
      <c r="Q233" s="19" t="s">
        <v>78</v>
      </c>
      <c r="R233" s="19" t="s">
        <v>78</v>
      </c>
      <c r="S233" s="20" t="s">
        <v>78</v>
      </c>
    </row>
    <row r="234" spans="1:19" x14ac:dyDescent="0.35">
      <c r="A234" s="82" t="s">
        <v>101</v>
      </c>
      <c r="B234" s="19">
        <v>1267800</v>
      </c>
      <c r="C234" s="19">
        <v>10840</v>
      </c>
      <c r="D234" s="19" t="s">
        <v>99</v>
      </c>
      <c r="E234" s="19" t="s">
        <v>439</v>
      </c>
      <c r="F234" s="19" t="s">
        <v>83</v>
      </c>
      <c r="G234" s="19" t="s">
        <v>307</v>
      </c>
      <c r="H234" s="19" t="s">
        <v>78</v>
      </c>
      <c r="I234" s="19" t="s">
        <v>78</v>
      </c>
      <c r="J234" s="19" t="s">
        <v>78</v>
      </c>
      <c r="K234" s="19" t="s">
        <v>318</v>
      </c>
      <c r="L234" s="19" t="s">
        <v>78</v>
      </c>
      <c r="M234" s="19" t="s">
        <v>78</v>
      </c>
      <c r="N234" s="19" t="s">
        <v>78</v>
      </c>
      <c r="O234" s="19" t="s">
        <v>78</v>
      </c>
      <c r="P234" s="19" t="s">
        <v>78</v>
      </c>
      <c r="Q234" s="19" t="s">
        <v>78</v>
      </c>
      <c r="R234" s="19" t="s">
        <v>78</v>
      </c>
      <c r="S234" s="20" t="s">
        <v>78</v>
      </c>
    </row>
    <row r="235" spans="1:19" x14ac:dyDescent="0.35">
      <c r="A235" s="81" t="s">
        <v>102</v>
      </c>
      <c r="B235" s="17">
        <v>1251880</v>
      </c>
      <c r="C235" s="17">
        <v>17560</v>
      </c>
      <c r="D235" s="17" t="s">
        <v>99</v>
      </c>
      <c r="E235" s="17" t="s">
        <v>346</v>
      </c>
      <c r="F235" s="17" t="s">
        <v>79</v>
      </c>
      <c r="G235" s="17" t="s">
        <v>78</v>
      </c>
      <c r="H235" s="17" t="s">
        <v>78</v>
      </c>
      <c r="I235" s="17" t="s">
        <v>78</v>
      </c>
      <c r="J235" s="17" t="s">
        <v>78</v>
      </c>
      <c r="K235" s="17" t="s">
        <v>133</v>
      </c>
      <c r="L235" s="17" t="s">
        <v>78</v>
      </c>
      <c r="M235" s="17" t="s">
        <v>78</v>
      </c>
      <c r="N235" s="17" t="s">
        <v>78</v>
      </c>
      <c r="O235" s="17"/>
      <c r="P235" s="17" t="s">
        <v>78</v>
      </c>
      <c r="Q235" s="17" t="s">
        <v>78</v>
      </c>
      <c r="R235" s="17" t="s">
        <v>15</v>
      </c>
      <c r="S235" s="18" t="s">
        <v>78</v>
      </c>
    </row>
    <row r="236" spans="1:19" x14ac:dyDescent="0.35">
      <c r="A236" s="82" t="s">
        <v>102</v>
      </c>
      <c r="B236" s="19">
        <v>1127480</v>
      </c>
      <c r="C236" s="19">
        <v>7000</v>
      </c>
      <c r="D236" s="19" t="s">
        <v>99</v>
      </c>
      <c r="E236" s="19" t="s">
        <v>420</v>
      </c>
      <c r="F236" s="19" t="s">
        <v>11</v>
      </c>
      <c r="G236" s="19" t="s">
        <v>296</v>
      </c>
      <c r="H236" s="19" t="s">
        <v>78</v>
      </c>
      <c r="I236" s="19" t="s">
        <v>78</v>
      </c>
      <c r="J236" s="19" t="s">
        <v>78</v>
      </c>
      <c r="K236" s="19" t="s">
        <v>417</v>
      </c>
      <c r="L236" s="19" t="s">
        <v>78</v>
      </c>
      <c r="M236" s="19" t="s">
        <v>78</v>
      </c>
      <c r="N236" s="19" t="s">
        <v>78</v>
      </c>
      <c r="O236" s="19"/>
      <c r="P236" s="19" t="s">
        <v>78</v>
      </c>
      <c r="Q236" s="19" t="s">
        <v>78</v>
      </c>
      <c r="R236" s="19" t="s">
        <v>78</v>
      </c>
      <c r="S236" s="20" t="s">
        <v>78</v>
      </c>
    </row>
    <row r="237" spans="1:19" x14ac:dyDescent="0.35">
      <c r="A237" s="82" t="s">
        <v>102</v>
      </c>
      <c r="B237" s="19">
        <v>1012520</v>
      </c>
      <c r="C237" s="19">
        <v>7000</v>
      </c>
      <c r="D237" s="19" t="s">
        <v>99</v>
      </c>
      <c r="E237" s="19" t="s">
        <v>347</v>
      </c>
      <c r="F237" s="19" t="s">
        <v>83</v>
      </c>
      <c r="G237" s="19" t="s">
        <v>17</v>
      </c>
      <c r="H237" s="19" t="s">
        <v>78</v>
      </c>
      <c r="I237" s="19" t="s">
        <v>78</v>
      </c>
      <c r="J237" s="19" t="s">
        <v>78</v>
      </c>
      <c r="K237" s="19" t="s">
        <v>322</v>
      </c>
      <c r="L237" s="19" t="s">
        <v>78</v>
      </c>
      <c r="M237" s="19" t="s">
        <v>78</v>
      </c>
      <c r="N237" s="19" t="s">
        <v>78</v>
      </c>
      <c r="O237" s="19"/>
      <c r="P237" s="19" t="s">
        <v>78</v>
      </c>
      <c r="Q237" s="19" t="s">
        <v>78</v>
      </c>
      <c r="R237" s="19" t="s">
        <v>78</v>
      </c>
      <c r="S237" s="20" t="s">
        <v>78</v>
      </c>
    </row>
    <row r="238" spans="1:19" x14ac:dyDescent="0.35">
      <c r="A238" s="82" t="s">
        <v>102</v>
      </c>
      <c r="B238" s="19">
        <v>1530520</v>
      </c>
      <c r="C238" s="19">
        <v>23840</v>
      </c>
      <c r="D238" s="19" t="s">
        <v>99</v>
      </c>
      <c r="E238" s="19" t="s">
        <v>415</v>
      </c>
      <c r="F238" s="19" t="s">
        <v>11</v>
      </c>
      <c r="G238" s="19" t="s">
        <v>304</v>
      </c>
      <c r="H238" s="19" t="s">
        <v>78</v>
      </c>
      <c r="I238" s="19" t="s">
        <v>78</v>
      </c>
      <c r="J238" s="19" t="s">
        <v>78</v>
      </c>
      <c r="K238" s="19" t="s">
        <v>133</v>
      </c>
      <c r="L238" s="19" t="s">
        <v>78</v>
      </c>
      <c r="M238" s="19" t="s">
        <v>78</v>
      </c>
      <c r="N238" s="19" t="s">
        <v>78</v>
      </c>
      <c r="O238" s="19" t="s">
        <v>78</v>
      </c>
      <c r="P238" s="19" t="s">
        <v>78</v>
      </c>
      <c r="Q238" s="19" t="s">
        <v>78</v>
      </c>
      <c r="R238" s="19" t="s">
        <v>78</v>
      </c>
      <c r="S238" s="20" t="s">
        <v>78</v>
      </c>
    </row>
    <row r="239" spans="1:19" x14ac:dyDescent="0.35">
      <c r="A239" s="82" t="s">
        <v>103</v>
      </c>
      <c r="B239" s="19">
        <v>1493200</v>
      </c>
      <c r="C239" s="19">
        <v>13160</v>
      </c>
      <c r="D239" s="19" t="s">
        <v>99</v>
      </c>
      <c r="E239" s="19" t="s">
        <v>415</v>
      </c>
      <c r="F239" s="19" t="s">
        <v>79</v>
      </c>
      <c r="G239" s="19" t="s">
        <v>78</v>
      </c>
      <c r="H239" s="19" t="s">
        <v>78</v>
      </c>
      <c r="I239" s="19" t="s">
        <v>78</v>
      </c>
      <c r="J239" s="19" t="s">
        <v>78</v>
      </c>
      <c r="K239" s="19" t="s">
        <v>417</v>
      </c>
      <c r="L239" s="19" t="s">
        <v>78</v>
      </c>
      <c r="M239" s="19" t="s">
        <v>78</v>
      </c>
      <c r="N239" s="19" t="s">
        <v>78</v>
      </c>
      <c r="O239" s="19"/>
      <c r="P239" s="19" t="s">
        <v>78</v>
      </c>
      <c r="Q239" s="19" t="s">
        <v>78</v>
      </c>
      <c r="R239" s="19" t="s">
        <v>259</v>
      </c>
      <c r="S239" s="20" t="s">
        <v>78</v>
      </c>
    </row>
    <row r="240" spans="1:19" x14ac:dyDescent="0.35">
      <c r="A240" s="82" t="s">
        <v>103</v>
      </c>
      <c r="B240" s="19">
        <v>1199040</v>
      </c>
      <c r="C240" s="19">
        <v>7000</v>
      </c>
      <c r="D240" s="19" t="s">
        <v>99</v>
      </c>
      <c r="E240" s="19" t="s">
        <v>421</v>
      </c>
      <c r="F240" s="19" t="s">
        <v>13</v>
      </c>
      <c r="G240" s="19" t="s">
        <v>78</v>
      </c>
      <c r="H240" s="19" t="s">
        <v>78</v>
      </c>
      <c r="I240" s="19" t="s">
        <v>78</v>
      </c>
      <c r="J240" s="19" t="s">
        <v>78</v>
      </c>
      <c r="K240" s="19" t="s">
        <v>417</v>
      </c>
      <c r="L240" s="19" t="s">
        <v>78</v>
      </c>
      <c r="M240" s="19" t="s">
        <v>78</v>
      </c>
      <c r="N240" s="19" t="s">
        <v>78</v>
      </c>
      <c r="O240" s="19"/>
      <c r="P240" s="19" t="s">
        <v>78</v>
      </c>
      <c r="Q240" s="19" t="s">
        <v>78</v>
      </c>
      <c r="R240" s="19" t="s">
        <v>78</v>
      </c>
      <c r="S240" s="20" t="s">
        <v>78</v>
      </c>
    </row>
    <row r="241" spans="1:19" x14ac:dyDescent="0.35">
      <c r="A241" s="82" t="s">
        <v>103</v>
      </c>
      <c r="B241" s="19">
        <v>1149400</v>
      </c>
      <c r="C241" s="19">
        <v>12440</v>
      </c>
      <c r="D241" s="19" t="s">
        <v>99</v>
      </c>
      <c r="E241" s="19" t="s">
        <v>439</v>
      </c>
      <c r="F241" s="19" t="s">
        <v>11</v>
      </c>
      <c r="G241" s="19" t="s">
        <v>307</v>
      </c>
      <c r="H241" s="19" t="s">
        <v>78</v>
      </c>
      <c r="I241" s="19" t="s">
        <v>78</v>
      </c>
      <c r="J241" s="19" t="s">
        <v>78</v>
      </c>
      <c r="K241" s="19" t="s">
        <v>318</v>
      </c>
      <c r="L241" s="19" t="s">
        <v>78</v>
      </c>
      <c r="M241" s="19" t="s">
        <v>78</v>
      </c>
      <c r="N241" s="19" t="s">
        <v>78</v>
      </c>
      <c r="O241" s="19"/>
      <c r="P241" s="19" t="s">
        <v>78</v>
      </c>
      <c r="Q241" s="19" t="s">
        <v>78</v>
      </c>
      <c r="R241" s="19" t="s">
        <v>78</v>
      </c>
      <c r="S241" s="20" t="s">
        <v>78</v>
      </c>
    </row>
    <row r="242" spans="1:19" x14ac:dyDescent="0.35">
      <c r="A242" s="82" t="s">
        <v>103</v>
      </c>
      <c r="B242" s="19">
        <v>1611280</v>
      </c>
      <c r="C242" s="19">
        <v>13400</v>
      </c>
      <c r="D242" s="19" t="s">
        <v>99</v>
      </c>
      <c r="E242" s="19" t="s">
        <v>346</v>
      </c>
      <c r="F242" s="19" t="s">
        <v>11</v>
      </c>
      <c r="G242" s="19" t="s">
        <v>282</v>
      </c>
      <c r="H242" s="19" t="s">
        <v>78</v>
      </c>
      <c r="I242" s="19" t="s">
        <v>78</v>
      </c>
      <c r="J242" s="19" t="s">
        <v>78</v>
      </c>
      <c r="K242" s="19" t="s">
        <v>133</v>
      </c>
      <c r="L242" s="19" t="s">
        <v>78</v>
      </c>
      <c r="M242" s="19" t="s">
        <v>78</v>
      </c>
      <c r="N242" s="19" t="s">
        <v>78</v>
      </c>
      <c r="O242" s="19" t="s">
        <v>78</v>
      </c>
      <c r="P242" s="19" t="s">
        <v>78</v>
      </c>
      <c r="Q242" s="19" t="s">
        <v>78</v>
      </c>
      <c r="R242" s="19" t="s">
        <v>78</v>
      </c>
      <c r="S242" s="20" t="s">
        <v>78</v>
      </c>
    </row>
    <row r="243" spans="1:19" x14ac:dyDescent="0.35">
      <c r="A243" s="81" t="s">
        <v>104</v>
      </c>
      <c r="B243" s="17">
        <v>1720280</v>
      </c>
      <c r="C243" s="17">
        <v>17240</v>
      </c>
      <c r="D243" s="17" t="s">
        <v>99</v>
      </c>
      <c r="E243" s="17" t="s">
        <v>415</v>
      </c>
      <c r="F243" s="17" t="s">
        <v>11</v>
      </c>
      <c r="G243" s="17" t="s">
        <v>282</v>
      </c>
      <c r="H243" s="17" t="s">
        <v>78</v>
      </c>
      <c r="I243" s="17" t="s">
        <v>78</v>
      </c>
      <c r="J243" s="17" t="s">
        <v>78</v>
      </c>
      <c r="K243" s="17" t="s">
        <v>319</v>
      </c>
      <c r="L243" s="17" t="s">
        <v>78</v>
      </c>
      <c r="M243" s="17" t="s">
        <v>78</v>
      </c>
      <c r="N243" s="17" t="s">
        <v>78</v>
      </c>
      <c r="O243" s="17"/>
      <c r="P243" s="17" t="s">
        <v>78</v>
      </c>
      <c r="Q243" s="17" t="s">
        <v>78</v>
      </c>
      <c r="R243" s="17" t="s">
        <v>78</v>
      </c>
      <c r="S243" s="18" t="s">
        <v>78</v>
      </c>
    </row>
    <row r="244" spans="1:19" x14ac:dyDescent="0.35">
      <c r="A244" s="81" t="s">
        <v>104</v>
      </c>
      <c r="B244" s="17">
        <v>1207040</v>
      </c>
      <c r="C244" s="17">
        <v>17640</v>
      </c>
      <c r="D244" s="17" t="s">
        <v>99</v>
      </c>
      <c r="E244" s="17" t="s">
        <v>376</v>
      </c>
      <c r="F244" s="17" t="s">
        <v>13</v>
      </c>
      <c r="G244" s="17" t="s">
        <v>78</v>
      </c>
      <c r="H244" s="17" t="s">
        <v>78</v>
      </c>
      <c r="I244" s="17" t="s">
        <v>78</v>
      </c>
      <c r="J244" s="17" t="s">
        <v>78</v>
      </c>
      <c r="K244" s="17" t="s">
        <v>322</v>
      </c>
      <c r="L244" s="17" t="s">
        <v>78</v>
      </c>
      <c r="M244" s="17" t="s">
        <v>78</v>
      </c>
      <c r="N244" s="17" t="s">
        <v>78</v>
      </c>
      <c r="O244" s="17"/>
      <c r="P244" s="17" t="s">
        <v>78</v>
      </c>
      <c r="Q244" s="17" t="s">
        <v>78</v>
      </c>
      <c r="R244" s="17" t="s">
        <v>151</v>
      </c>
      <c r="S244" s="18" t="s">
        <v>78</v>
      </c>
    </row>
    <row r="245" spans="1:19" x14ac:dyDescent="0.35">
      <c r="A245" s="82" t="s">
        <v>104</v>
      </c>
      <c r="B245" s="19">
        <v>1221040</v>
      </c>
      <c r="C245" s="19">
        <v>18520</v>
      </c>
      <c r="D245" s="19" t="s">
        <v>99</v>
      </c>
      <c r="E245" s="19" t="s">
        <v>562</v>
      </c>
      <c r="F245" s="19" t="s">
        <v>11</v>
      </c>
      <c r="G245" s="19" t="s">
        <v>296</v>
      </c>
      <c r="H245" s="19" t="s">
        <v>78</v>
      </c>
      <c r="I245" s="19" t="s">
        <v>78</v>
      </c>
      <c r="J245" s="19" t="s">
        <v>78</v>
      </c>
      <c r="K245" s="19" t="s">
        <v>318</v>
      </c>
      <c r="L245" s="19" t="s">
        <v>78</v>
      </c>
      <c r="M245" s="19" t="s">
        <v>78</v>
      </c>
      <c r="N245" s="19" t="s">
        <v>78</v>
      </c>
      <c r="O245" s="19"/>
      <c r="P245" s="19" t="s">
        <v>78</v>
      </c>
      <c r="Q245" s="19" t="s">
        <v>78</v>
      </c>
      <c r="R245" s="19" t="s">
        <v>78</v>
      </c>
      <c r="S245" s="20" t="s">
        <v>78</v>
      </c>
    </row>
    <row r="246" spans="1:19" x14ac:dyDescent="0.35">
      <c r="A246" s="82" t="s">
        <v>104</v>
      </c>
      <c r="B246" s="19">
        <v>1688480</v>
      </c>
      <c r="C246" s="19">
        <v>20680</v>
      </c>
      <c r="D246" s="19" t="s">
        <v>99</v>
      </c>
      <c r="E246" s="19" t="s">
        <v>346</v>
      </c>
      <c r="F246" s="19" t="s">
        <v>79</v>
      </c>
      <c r="G246" s="19" t="s">
        <v>78</v>
      </c>
      <c r="H246" s="19" t="s">
        <v>78</v>
      </c>
      <c r="I246" s="19" t="s">
        <v>78</v>
      </c>
      <c r="J246" s="19" t="s">
        <v>78</v>
      </c>
      <c r="K246" s="19" t="s">
        <v>133</v>
      </c>
      <c r="L246" s="19" t="s">
        <v>78</v>
      </c>
      <c r="M246" s="19" t="s">
        <v>78</v>
      </c>
      <c r="N246" s="19" t="s">
        <v>78</v>
      </c>
      <c r="O246" s="19" t="s">
        <v>78</v>
      </c>
      <c r="P246" s="19" t="s">
        <v>78</v>
      </c>
      <c r="Q246" s="19" t="s">
        <v>78</v>
      </c>
      <c r="R246" s="19" t="s">
        <v>315</v>
      </c>
      <c r="S246" s="20" t="s">
        <v>78</v>
      </c>
    </row>
    <row r="247" spans="1:19" x14ac:dyDescent="0.35">
      <c r="A247" s="82" t="s">
        <v>106</v>
      </c>
      <c r="B247" s="19">
        <v>93000</v>
      </c>
      <c r="C247" s="19">
        <v>13120</v>
      </c>
      <c r="D247" s="19" t="s">
        <v>99</v>
      </c>
      <c r="E247" s="19" t="s">
        <v>421</v>
      </c>
      <c r="F247" s="19" t="s">
        <v>10</v>
      </c>
      <c r="G247" s="19" t="s">
        <v>301</v>
      </c>
      <c r="H247" s="19" t="s">
        <v>78</v>
      </c>
      <c r="I247" s="19" t="s">
        <v>78</v>
      </c>
      <c r="J247" s="19" t="s">
        <v>78</v>
      </c>
      <c r="K247" s="19" t="s">
        <v>319</v>
      </c>
      <c r="L247" s="19" t="s">
        <v>78</v>
      </c>
      <c r="M247" s="19" t="s">
        <v>78</v>
      </c>
      <c r="N247" s="19" t="s">
        <v>78</v>
      </c>
      <c r="O247" s="19"/>
      <c r="P247" s="19" t="s">
        <v>78</v>
      </c>
      <c r="Q247" s="19" t="s">
        <v>78</v>
      </c>
      <c r="R247" s="19" t="s">
        <v>78</v>
      </c>
      <c r="S247" s="20" t="s">
        <v>78</v>
      </c>
    </row>
    <row r="248" spans="1:19" x14ac:dyDescent="0.35">
      <c r="A248" s="81" t="s">
        <v>106</v>
      </c>
      <c r="B248" s="17">
        <v>1228680</v>
      </c>
      <c r="C248" s="17">
        <v>11200</v>
      </c>
      <c r="D248" s="17" t="s">
        <v>99</v>
      </c>
      <c r="E248" s="17" t="s">
        <v>421</v>
      </c>
      <c r="F248" s="17" t="s">
        <v>10</v>
      </c>
      <c r="G248" s="17" t="s">
        <v>303</v>
      </c>
      <c r="H248" s="17" t="s">
        <v>78</v>
      </c>
      <c r="I248" s="17" t="s">
        <v>78</v>
      </c>
      <c r="J248" s="17" t="s">
        <v>78</v>
      </c>
      <c r="K248" s="17" t="s">
        <v>322</v>
      </c>
      <c r="L248" s="17" t="s">
        <v>78</v>
      </c>
      <c r="M248" s="17" t="s">
        <v>78</v>
      </c>
      <c r="N248" s="17" t="s">
        <v>78</v>
      </c>
      <c r="O248" s="17"/>
      <c r="P248" s="17" t="s">
        <v>78</v>
      </c>
      <c r="Q248" s="17" t="s">
        <v>78</v>
      </c>
      <c r="R248" s="17" t="s">
        <v>78</v>
      </c>
      <c r="S248" s="18" t="s">
        <v>78</v>
      </c>
    </row>
    <row r="249" spans="1:19" x14ac:dyDescent="0.35">
      <c r="A249" s="82" t="s">
        <v>106</v>
      </c>
      <c r="B249" s="19">
        <v>1289320</v>
      </c>
      <c r="C249" s="19">
        <v>12200</v>
      </c>
      <c r="D249" s="19" t="s">
        <v>99</v>
      </c>
      <c r="E249" s="19" t="s">
        <v>344</v>
      </c>
      <c r="F249" s="19" t="s">
        <v>13</v>
      </c>
      <c r="G249" s="19" t="s">
        <v>78</v>
      </c>
      <c r="H249" s="19" t="s">
        <v>78</v>
      </c>
      <c r="I249" s="19" t="s">
        <v>78</v>
      </c>
      <c r="J249" s="19" t="s">
        <v>78</v>
      </c>
      <c r="K249" s="19" t="s">
        <v>318</v>
      </c>
      <c r="L249" s="19" t="s">
        <v>78</v>
      </c>
      <c r="M249" s="19" t="s">
        <v>78</v>
      </c>
      <c r="N249" s="19" t="s">
        <v>78</v>
      </c>
      <c r="O249" s="19"/>
      <c r="P249" s="19" t="s">
        <v>78</v>
      </c>
      <c r="Q249" s="19" t="s">
        <v>78</v>
      </c>
      <c r="R249" s="19" t="s">
        <v>78</v>
      </c>
      <c r="S249" s="20" t="s">
        <v>78</v>
      </c>
    </row>
    <row r="250" spans="1:19" x14ac:dyDescent="0.35">
      <c r="A250" s="82" t="s">
        <v>106</v>
      </c>
      <c r="B250" s="19">
        <v>0</v>
      </c>
      <c r="C250" s="19">
        <v>15280</v>
      </c>
      <c r="D250" s="19" t="s">
        <v>99</v>
      </c>
      <c r="E250" s="19" t="s">
        <v>415</v>
      </c>
      <c r="F250" s="19" t="s">
        <v>79</v>
      </c>
      <c r="G250" s="19" t="s">
        <v>78</v>
      </c>
      <c r="H250" s="19" t="s">
        <v>78</v>
      </c>
      <c r="I250" s="19" t="s">
        <v>78</v>
      </c>
      <c r="J250" s="19" t="s">
        <v>78</v>
      </c>
      <c r="K250" s="19" t="s">
        <v>345</v>
      </c>
      <c r="L250" s="19" t="s">
        <v>78</v>
      </c>
      <c r="M250" s="19" t="s">
        <v>78</v>
      </c>
      <c r="N250" s="19" t="s">
        <v>78</v>
      </c>
      <c r="O250" s="19" t="s">
        <v>78</v>
      </c>
      <c r="P250" s="19" t="s">
        <v>78</v>
      </c>
      <c r="Q250" s="19" t="s">
        <v>78</v>
      </c>
      <c r="R250" s="19" t="s">
        <v>151</v>
      </c>
      <c r="S250" s="20" t="s">
        <v>78</v>
      </c>
    </row>
    <row r="251" spans="1:19" x14ac:dyDescent="0.35">
      <c r="A251" s="81" t="s">
        <v>107</v>
      </c>
      <c r="B251" s="17">
        <v>145840</v>
      </c>
      <c r="C251" s="17">
        <v>16160</v>
      </c>
      <c r="D251" s="17" t="s">
        <v>99</v>
      </c>
      <c r="E251" s="17" t="s">
        <v>415</v>
      </c>
      <c r="F251" s="17" t="s">
        <v>13</v>
      </c>
      <c r="G251" s="17" t="s">
        <v>78</v>
      </c>
      <c r="H251" s="17" t="s">
        <v>78</v>
      </c>
      <c r="I251" s="17" t="s">
        <v>78</v>
      </c>
      <c r="J251" s="17" t="s">
        <v>78</v>
      </c>
      <c r="K251" s="17" t="s">
        <v>417</v>
      </c>
      <c r="L251" s="17" t="s">
        <v>78</v>
      </c>
      <c r="M251" s="17" t="s">
        <v>78</v>
      </c>
      <c r="N251" s="17" t="s">
        <v>78</v>
      </c>
      <c r="O251" s="17"/>
      <c r="P251" s="17" t="s">
        <v>78</v>
      </c>
      <c r="Q251" s="17" t="s">
        <v>78</v>
      </c>
      <c r="R251" s="17" t="s">
        <v>78</v>
      </c>
      <c r="S251" s="18" t="s">
        <v>78</v>
      </c>
    </row>
    <row r="252" spans="1:19" x14ac:dyDescent="0.35">
      <c r="A252" s="82" t="s">
        <v>107</v>
      </c>
      <c r="B252" s="19">
        <v>1335000</v>
      </c>
      <c r="C252" s="19">
        <v>15480</v>
      </c>
      <c r="D252" s="19" t="s">
        <v>99</v>
      </c>
      <c r="E252" s="19" t="s">
        <v>421</v>
      </c>
      <c r="F252" s="19" t="s">
        <v>79</v>
      </c>
      <c r="G252" s="19" t="s">
        <v>78</v>
      </c>
      <c r="H252" s="19" t="s">
        <v>78</v>
      </c>
      <c r="I252" s="19" t="s">
        <v>78</v>
      </c>
      <c r="J252" s="19" t="s">
        <v>78</v>
      </c>
      <c r="K252" s="19" t="s">
        <v>417</v>
      </c>
      <c r="L252" s="19" t="s">
        <v>78</v>
      </c>
      <c r="M252" s="19" t="s">
        <v>78</v>
      </c>
      <c r="N252" s="19" t="s">
        <v>78</v>
      </c>
      <c r="O252" s="19"/>
      <c r="P252" s="19" t="s">
        <v>78</v>
      </c>
      <c r="Q252" s="19" t="s">
        <v>78</v>
      </c>
      <c r="R252" s="19" t="s">
        <v>259</v>
      </c>
      <c r="S252" s="20" t="s">
        <v>78</v>
      </c>
    </row>
    <row r="253" spans="1:19" x14ac:dyDescent="0.35">
      <c r="A253" s="82" t="s">
        <v>107</v>
      </c>
      <c r="B253" s="19">
        <v>1309600</v>
      </c>
      <c r="C253" s="19">
        <v>16560</v>
      </c>
      <c r="D253" s="19" t="s">
        <v>99</v>
      </c>
      <c r="E253" s="19" t="s">
        <v>346</v>
      </c>
      <c r="F253" s="19" t="s">
        <v>13</v>
      </c>
      <c r="G253" s="19" t="s">
        <v>78</v>
      </c>
      <c r="H253" s="19" t="s">
        <v>78</v>
      </c>
      <c r="I253" s="19" t="s">
        <v>78</v>
      </c>
      <c r="J253" s="19" t="s">
        <v>78</v>
      </c>
      <c r="K253" s="19" t="s">
        <v>133</v>
      </c>
      <c r="L253" s="19" t="s">
        <v>78</v>
      </c>
      <c r="M253" s="19" t="s">
        <v>78</v>
      </c>
      <c r="N253" s="19" t="s">
        <v>78</v>
      </c>
      <c r="O253" s="19"/>
      <c r="P253" s="19" t="s">
        <v>78</v>
      </c>
      <c r="Q253" s="19" t="s">
        <v>78</v>
      </c>
      <c r="R253" s="19" t="s">
        <v>78</v>
      </c>
      <c r="S253" s="20" t="s">
        <v>78</v>
      </c>
    </row>
    <row r="254" spans="1:19" x14ac:dyDescent="0.35">
      <c r="A254" s="82" t="s">
        <v>107</v>
      </c>
      <c r="B254" s="19">
        <v>57480</v>
      </c>
      <c r="C254" s="19">
        <v>17080</v>
      </c>
      <c r="D254" s="19" t="s">
        <v>99</v>
      </c>
      <c r="E254" s="19" t="s">
        <v>415</v>
      </c>
      <c r="F254" s="19" t="s">
        <v>11</v>
      </c>
      <c r="G254" s="19" t="s">
        <v>308</v>
      </c>
      <c r="H254" s="19" t="s">
        <v>78</v>
      </c>
      <c r="I254" s="19" t="s">
        <v>78</v>
      </c>
      <c r="J254" s="19" t="s">
        <v>78</v>
      </c>
      <c r="K254" s="19" t="s">
        <v>345</v>
      </c>
      <c r="L254" s="19" t="s">
        <v>78</v>
      </c>
      <c r="M254" s="19" t="s">
        <v>78</v>
      </c>
      <c r="N254" s="19" t="s">
        <v>78</v>
      </c>
      <c r="O254" s="19" t="s">
        <v>78</v>
      </c>
      <c r="P254" s="19" t="s">
        <v>78</v>
      </c>
      <c r="Q254" s="19" t="s">
        <v>78</v>
      </c>
      <c r="R254" s="19" t="s">
        <v>78</v>
      </c>
      <c r="S254" s="20" t="s">
        <v>78</v>
      </c>
    </row>
    <row r="255" spans="1:19" x14ac:dyDescent="0.35">
      <c r="A255" s="82" t="s">
        <v>108</v>
      </c>
      <c r="B255" s="19">
        <v>158840</v>
      </c>
      <c r="C255" s="19">
        <v>22480</v>
      </c>
      <c r="D255" s="19" t="s">
        <v>99</v>
      </c>
      <c r="E255" s="19" t="s">
        <v>415</v>
      </c>
      <c r="F255" s="19" t="s">
        <v>105</v>
      </c>
      <c r="G255" s="19" t="s">
        <v>78</v>
      </c>
      <c r="H255" s="19" t="s">
        <v>78</v>
      </c>
      <c r="I255" s="19" t="s">
        <v>78</v>
      </c>
      <c r="J255" s="19" t="s">
        <v>78</v>
      </c>
      <c r="K255" s="19" t="s">
        <v>322</v>
      </c>
      <c r="L255" s="19" t="s">
        <v>78</v>
      </c>
      <c r="M255" s="19" t="s">
        <v>78</v>
      </c>
      <c r="N255" s="19" t="s">
        <v>78</v>
      </c>
      <c r="O255" s="19"/>
      <c r="P255" s="19" t="s">
        <v>78</v>
      </c>
      <c r="Q255" s="19" t="s">
        <v>78</v>
      </c>
      <c r="R255" s="19" t="s">
        <v>78</v>
      </c>
      <c r="S255" s="20" t="s">
        <v>78</v>
      </c>
    </row>
    <row r="256" spans="1:19" x14ac:dyDescent="0.35">
      <c r="A256" s="82" t="s">
        <v>108</v>
      </c>
      <c r="B256" s="19">
        <v>1378560</v>
      </c>
      <c r="C256" s="19">
        <v>7000</v>
      </c>
      <c r="D256" s="19" t="s">
        <v>99</v>
      </c>
      <c r="E256" s="19" t="s">
        <v>420</v>
      </c>
      <c r="F256" s="19" t="s">
        <v>13</v>
      </c>
      <c r="G256" s="19" t="s">
        <v>78</v>
      </c>
      <c r="H256" s="19" t="s">
        <v>78</v>
      </c>
      <c r="I256" s="19" t="s">
        <v>78</v>
      </c>
      <c r="J256" s="19" t="s">
        <v>78</v>
      </c>
      <c r="K256" s="19" t="s">
        <v>345</v>
      </c>
      <c r="L256" s="19" t="s">
        <v>78</v>
      </c>
      <c r="M256" s="19" t="s">
        <v>78</v>
      </c>
      <c r="N256" s="19" t="s">
        <v>78</v>
      </c>
      <c r="O256" s="19"/>
      <c r="P256" s="19" t="s">
        <v>78</v>
      </c>
      <c r="Q256" s="19" t="s">
        <v>78</v>
      </c>
      <c r="R256" s="19" t="s">
        <v>78</v>
      </c>
      <c r="S256" s="20" t="s">
        <v>78</v>
      </c>
    </row>
    <row r="257" spans="1:19" x14ac:dyDescent="0.35">
      <c r="A257" s="82" t="s">
        <v>108</v>
      </c>
      <c r="B257" s="19">
        <v>1329000</v>
      </c>
      <c r="C257" s="19">
        <v>7000</v>
      </c>
      <c r="D257" s="19" t="s">
        <v>99</v>
      </c>
      <c r="E257" s="19" t="s">
        <v>377</v>
      </c>
      <c r="F257" s="19" t="s">
        <v>83</v>
      </c>
      <c r="G257" s="19" t="s">
        <v>15</v>
      </c>
      <c r="H257" s="19" t="s">
        <v>78</v>
      </c>
      <c r="I257" s="19" t="s">
        <v>78</v>
      </c>
      <c r="J257" s="19" t="s">
        <v>78</v>
      </c>
      <c r="K257" s="19" t="s">
        <v>322</v>
      </c>
      <c r="L257" s="19" t="s">
        <v>78</v>
      </c>
      <c r="M257" s="19" t="s">
        <v>78</v>
      </c>
      <c r="N257" s="19" t="s">
        <v>78</v>
      </c>
      <c r="O257" s="19"/>
      <c r="P257" s="19" t="s">
        <v>78</v>
      </c>
      <c r="Q257" s="19" t="s">
        <v>78</v>
      </c>
      <c r="R257" s="19" t="s">
        <v>78</v>
      </c>
      <c r="S257" s="20" t="s">
        <v>78</v>
      </c>
    </row>
    <row r="258" spans="1:19" x14ac:dyDescent="0.35">
      <c r="A258" s="82" t="s">
        <v>108</v>
      </c>
      <c r="B258" s="19">
        <v>306600</v>
      </c>
      <c r="C258" s="19">
        <v>19440</v>
      </c>
      <c r="D258" s="19" t="s">
        <v>99</v>
      </c>
      <c r="E258" s="19" t="s">
        <v>377</v>
      </c>
      <c r="F258" s="19" t="s">
        <v>11</v>
      </c>
      <c r="G258" s="19" t="s">
        <v>15</v>
      </c>
      <c r="H258" s="19" t="s">
        <v>78</v>
      </c>
      <c r="I258" s="19" t="s">
        <v>78</v>
      </c>
      <c r="J258" s="19" t="s">
        <v>78</v>
      </c>
      <c r="K258" s="19" t="s">
        <v>417</v>
      </c>
      <c r="L258" s="19" t="s">
        <v>78</v>
      </c>
      <c r="M258" s="19" t="s">
        <v>78</v>
      </c>
      <c r="N258" s="19" t="s">
        <v>78</v>
      </c>
      <c r="O258" s="19" t="s">
        <v>78</v>
      </c>
      <c r="P258" s="19" t="s">
        <v>78</v>
      </c>
      <c r="Q258" s="19" t="s">
        <v>78</v>
      </c>
      <c r="R258" s="19" t="s">
        <v>78</v>
      </c>
      <c r="S258" s="20" t="s">
        <v>78</v>
      </c>
    </row>
    <row r="259" spans="1:19" x14ac:dyDescent="0.35">
      <c r="A259" s="81" t="s">
        <v>109</v>
      </c>
      <c r="B259" s="17">
        <v>470120</v>
      </c>
      <c r="C259" s="17">
        <v>18360</v>
      </c>
      <c r="D259" s="17" t="s">
        <v>99</v>
      </c>
      <c r="E259" s="17" t="s">
        <v>376</v>
      </c>
      <c r="F259" s="17" t="s">
        <v>83</v>
      </c>
      <c r="G259" s="17" t="s">
        <v>282</v>
      </c>
      <c r="H259" s="17" t="s">
        <v>78</v>
      </c>
      <c r="I259" s="17" t="s">
        <v>78</v>
      </c>
      <c r="J259" s="17" t="s">
        <v>78</v>
      </c>
      <c r="K259" s="17" t="s">
        <v>417</v>
      </c>
      <c r="L259" s="17" t="s">
        <v>78</v>
      </c>
      <c r="M259" s="17" t="s">
        <v>78</v>
      </c>
      <c r="N259" s="17" t="s">
        <v>78</v>
      </c>
      <c r="O259" s="17"/>
      <c r="P259" s="17" t="s">
        <v>78</v>
      </c>
      <c r="Q259" s="17" t="s">
        <v>78</v>
      </c>
      <c r="R259" s="17" t="s">
        <v>78</v>
      </c>
      <c r="S259" s="18" t="s">
        <v>78</v>
      </c>
    </row>
    <row r="260" spans="1:19" x14ac:dyDescent="0.35">
      <c r="A260" s="82" t="s">
        <v>109</v>
      </c>
      <c r="B260" s="19">
        <v>1416160</v>
      </c>
      <c r="C260" s="19">
        <v>16120</v>
      </c>
      <c r="D260" s="19" t="s">
        <v>99</v>
      </c>
      <c r="E260" s="19" t="s">
        <v>563</v>
      </c>
      <c r="F260" s="19" t="s">
        <v>13</v>
      </c>
      <c r="G260" s="19" t="s">
        <v>78</v>
      </c>
      <c r="H260" s="19" t="s">
        <v>78</v>
      </c>
      <c r="I260" s="19" t="s">
        <v>78</v>
      </c>
      <c r="J260" s="19" t="s">
        <v>78</v>
      </c>
      <c r="K260" s="19" t="s">
        <v>417</v>
      </c>
      <c r="L260" s="19" t="s">
        <v>78</v>
      </c>
      <c r="M260" s="19" t="s">
        <v>78</v>
      </c>
      <c r="N260" s="19" t="s">
        <v>78</v>
      </c>
      <c r="O260" s="19"/>
      <c r="P260" s="19" t="s">
        <v>78</v>
      </c>
      <c r="Q260" s="19" t="s">
        <v>78</v>
      </c>
      <c r="R260" s="19" t="s">
        <v>78</v>
      </c>
      <c r="S260" s="20" t="s">
        <v>78</v>
      </c>
    </row>
    <row r="261" spans="1:19" x14ac:dyDescent="0.35">
      <c r="A261" s="82" t="s">
        <v>109</v>
      </c>
      <c r="B261" s="19">
        <v>1365520</v>
      </c>
      <c r="C261" s="19">
        <v>7000</v>
      </c>
      <c r="D261" s="19" t="s">
        <v>99</v>
      </c>
      <c r="E261" s="19" t="s">
        <v>346</v>
      </c>
      <c r="F261" s="19" t="s">
        <v>105</v>
      </c>
      <c r="G261" s="19" t="s">
        <v>78</v>
      </c>
      <c r="H261" s="19" t="s">
        <v>78</v>
      </c>
      <c r="I261" s="19" t="s">
        <v>78</v>
      </c>
      <c r="J261" s="19" t="s">
        <v>78</v>
      </c>
      <c r="K261" s="19" t="s">
        <v>345</v>
      </c>
      <c r="L261" s="19" t="s">
        <v>78</v>
      </c>
      <c r="M261" s="19" t="s">
        <v>78</v>
      </c>
      <c r="N261" s="19" t="s">
        <v>78</v>
      </c>
      <c r="O261" s="19"/>
      <c r="P261" s="19" t="s">
        <v>78</v>
      </c>
      <c r="Q261" s="19" t="s">
        <v>78</v>
      </c>
      <c r="R261" s="19" t="s">
        <v>78</v>
      </c>
      <c r="S261" s="20" t="s">
        <v>78</v>
      </c>
    </row>
    <row r="262" spans="1:19" x14ac:dyDescent="0.35">
      <c r="A262" s="82" t="s">
        <v>109</v>
      </c>
      <c r="B262" s="19">
        <v>418040</v>
      </c>
      <c r="C262" s="19">
        <v>16720</v>
      </c>
      <c r="D262" s="19" t="s">
        <v>99</v>
      </c>
      <c r="E262" s="19" t="s">
        <v>344</v>
      </c>
      <c r="F262" s="19" t="s">
        <v>83</v>
      </c>
      <c r="G262" s="19" t="s">
        <v>308</v>
      </c>
      <c r="H262" s="19" t="s">
        <v>78</v>
      </c>
      <c r="I262" s="19" t="s">
        <v>78</v>
      </c>
      <c r="J262" s="19" t="s">
        <v>78</v>
      </c>
      <c r="K262" s="19" t="s">
        <v>417</v>
      </c>
      <c r="L262" s="19" t="s">
        <v>78</v>
      </c>
      <c r="M262" s="19" t="s">
        <v>78</v>
      </c>
      <c r="N262" s="19" t="s">
        <v>78</v>
      </c>
      <c r="O262" s="19" t="s">
        <v>78</v>
      </c>
      <c r="P262" s="19" t="s">
        <v>78</v>
      </c>
      <c r="Q262" s="19" t="s">
        <v>78</v>
      </c>
      <c r="R262" s="19" t="s">
        <v>78</v>
      </c>
      <c r="S262" s="20" t="s">
        <v>78</v>
      </c>
    </row>
    <row r="263" spans="1:19" x14ac:dyDescent="0.35">
      <c r="A263" s="82" t="s">
        <v>110</v>
      </c>
      <c r="B263" s="19">
        <v>518040</v>
      </c>
      <c r="C263" s="19">
        <v>17040</v>
      </c>
      <c r="D263" s="19" t="s">
        <v>99</v>
      </c>
      <c r="E263" s="19" t="s">
        <v>376</v>
      </c>
      <c r="F263" s="19" t="s">
        <v>83</v>
      </c>
      <c r="G263" s="19" t="s">
        <v>305</v>
      </c>
      <c r="H263" s="19" t="s">
        <v>78</v>
      </c>
      <c r="I263" s="19" t="s">
        <v>78</v>
      </c>
      <c r="J263" s="19" t="s">
        <v>78</v>
      </c>
      <c r="K263" s="19" t="s">
        <v>78</v>
      </c>
      <c r="L263" s="19" t="s">
        <v>78</v>
      </c>
      <c r="M263" s="19" t="s">
        <v>78</v>
      </c>
      <c r="N263" s="19" t="s">
        <v>78</v>
      </c>
      <c r="O263" s="19"/>
      <c r="P263" s="19" t="s">
        <v>78</v>
      </c>
      <c r="Q263" s="19" t="s">
        <v>78</v>
      </c>
      <c r="R263" s="19" t="s">
        <v>78</v>
      </c>
      <c r="S263" s="20" t="s">
        <v>78</v>
      </c>
    </row>
    <row r="264" spans="1:19" x14ac:dyDescent="0.35">
      <c r="A264" s="82" t="s">
        <v>110</v>
      </c>
      <c r="B264" s="19">
        <v>1441400</v>
      </c>
      <c r="C264" s="19">
        <v>7000</v>
      </c>
      <c r="D264" s="19" t="s">
        <v>99</v>
      </c>
      <c r="E264" s="19" t="s">
        <v>347</v>
      </c>
      <c r="F264" s="19" t="s">
        <v>280</v>
      </c>
      <c r="G264" s="19" t="s">
        <v>78</v>
      </c>
      <c r="H264" s="19" t="s">
        <v>78</v>
      </c>
      <c r="I264" s="19" t="s">
        <v>78</v>
      </c>
      <c r="J264" s="19" t="s">
        <v>78</v>
      </c>
      <c r="K264" s="19" t="s">
        <v>345</v>
      </c>
      <c r="L264" s="19" t="s">
        <v>78</v>
      </c>
      <c r="M264" s="19" t="s">
        <v>78</v>
      </c>
      <c r="N264" s="19" t="s">
        <v>78</v>
      </c>
      <c r="O264" s="19"/>
      <c r="P264" s="19" t="s">
        <v>78</v>
      </c>
      <c r="Q264" s="19" t="s">
        <v>78</v>
      </c>
      <c r="R264" s="19" t="s">
        <v>78</v>
      </c>
      <c r="S264" s="20" t="s">
        <v>78</v>
      </c>
    </row>
    <row r="265" spans="1:19" x14ac:dyDescent="0.35">
      <c r="A265" s="82" t="s">
        <v>110</v>
      </c>
      <c r="B265" s="19">
        <v>1529520</v>
      </c>
      <c r="C265" s="19">
        <v>22400</v>
      </c>
      <c r="D265" s="19" t="s">
        <v>99</v>
      </c>
      <c r="E265" s="19" t="s">
        <v>78</v>
      </c>
      <c r="F265" s="19" t="s">
        <v>13</v>
      </c>
      <c r="G265" s="19" t="s">
        <v>78</v>
      </c>
      <c r="H265" s="19" t="s">
        <v>78</v>
      </c>
      <c r="I265" s="19" t="s">
        <v>78</v>
      </c>
      <c r="J265" s="19" t="s">
        <v>78</v>
      </c>
      <c r="K265" s="19" t="s">
        <v>429</v>
      </c>
      <c r="L265" s="19" t="s">
        <v>78</v>
      </c>
      <c r="M265" s="19" t="s">
        <v>78</v>
      </c>
      <c r="N265" s="19" t="s">
        <v>78</v>
      </c>
      <c r="O265" s="19"/>
      <c r="P265" s="19" t="s">
        <v>78</v>
      </c>
      <c r="Q265" s="19" t="s">
        <v>78</v>
      </c>
      <c r="R265" s="19" t="s">
        <v>78</v>
      </c>
      <c r="S265" s="20" t="s">
        <v>78</v>
      </c>
    </row>
    <row r="266" spans="1:19" x14ac:dyDescent="0.35">
      <c r="A266" s="82" t="s">
        <v>110</v>
      </c>
      <c r="B266" s="19">
        <v>450240</v>
      </c>
      <c r="C266" s="19">
        <v>12960</v>
      </c>
      <c r="D266" s="19" t="s">
        <v>99</v>
      </c>
      <c r="E266" s="19" t="s">
        <v>415</v>
      </c>
      <c r="F266" s="19" t="s">
        <v>11</v>
      </c>
      <c r="G266" s="19" t="s">
        <v>297</v>
      </c>
      <c r="H266" s="19" t="s">
        <v>78</v>
      </c>
      <c r="I266" s="19" t="s">
        <v>78</v>
      </c>
      <c r="J266" s="19" t="s">
        <v>78</v>
      </c>
      <c r="K266" s="19" t="s">
        <v>417</v>
      </c>
      <c r="L266" s="19" t="s">
        <v>78</v>
      </c>
      <c r="M266" s="19" t="s">
        <v>78</v>
      </c>
      <c r="N266" s="19" t="s">
        <v>78</v>
      </c>
      <c r="O266" s="19" t="s">
        <v>78</v>
      </c>
      <c r="P266" s="19" t="s">
        <v>78</v>
      </c>
      <c r="Q266" s="19" t="s">
        <v>78</v>
      </c>
      <c r="R266" s="19" t="s">
        <v>78</v>
      </c>
      <c r="S266" s="20" t="s">
        <v>78</v>
      </c>
    </row>
    <row r="267" spans="1:19" x14ac:dyDescent="0.35">
      <c r="A267" s="81" t="s">
        <v>111</v>
      </c>
      <c r="B267" s="17">
        <v>437880</v>
      </c>
      <c r="C267" s="17">
        <v>12440</v>
      </c>
      <c r="D267" s="17" t="s">
        <v>99</v>
      </c>
      <c r="E267" s="17" t="s">
        <v>439</v>
      </c>
      <c r="F267" s="17" t="s">
        <v>11</v>
      </c>
      <c r="G267" s="17" t="s">
        <v>307</v>
      </c>
      <c r="H267" s="17" t="s">
        <v>78</v>
      </c>
      <c r="I267" s="17" t="s">
        <v>78</v>
      </c>
      <c r="J267" s="17" t="s">
        <v>78</v>
      </c>
      <c r="K267" s="17" t="s">
        <v>318</v>
      </c>
      <c r="L267" s="17" t="s">
        <v>78</v>
      </c>
      <c r="M267" s="17" t="s">
        <v>78</v>
      </c>
      <c r="N267" s="17" t="s">
        <v>78</v>
      </c>
      <c r="O267" s="17"/>
      <c r="P267" s="17" t="s">
        <v>78</v>
      </c>
      <c r="Q267" s="17" t="s">
        <v>78</v>
      </c>
      <c r="R267" s="17" t="s">
        <v>78</v>
      </c>
      <c r="S267" s="18" t="s">
        <v>78</v>
      </c>
    </row>
    <row r="268" spans="1:19" x14ac:dyDescent="0.35">
      <c r="A268" s="81" t="s">
        <v>111</v>
      </c>
      <c r="B268" s="17">
        <v>809520</v>
      </c>
      <c r="C268" s="17">
        <v>16560</v>
      </c>
      <c r="D268" s="17" t="s">
        <v>99</v>
      </c>
      <c r="E268" s="17" t="s">
        <v>421</v>
      </c>
      <c r="F268" s="17" t="s">
        <v>83</v>
      </c>
      <c r="G268" s="17" t="s">
        <v>298</v>
      </c>
      <c r="H268" s="17" t="s">
        <v>78</v>
      </c>
      <c r="I268" s="17" t="s">
        <v>78</v>
      </c>
      <c r="J268" s="17" t="s">
        <v>78</v>
      </c>
      <c r="K268" s="17" t="s">
        <v>417</v>
      </c>
      <c r="L268" s="17" t="s">
        <v>78</v>
      </c>
      <c r="M268" s="17" t="s">
        <v>78</v>
      </c>
      <c r="N268" s="17" t="s">
        <v>78</v>
      </c>
      <c r="O268" s="17"/>
      <c r="P268" s="17" t="s">
        <v>78</v>
      </c>
      <c r="Q268" s="17" t="s">
        <v>78</v>
      </c>
      <c r="R268" s="17" t="s">
        <v>78</v>
      </c>
      <c r="S268" s="18" t="s">
        <v>78</v>
      </c>
    </row>
    <row r="269" spans="1:19" x14ac:dyDescent="0.35">
      <c r="A269" s="82" t="s">
        <v>111</v>
      </c>
      <c r="B269" s="19">
        <v>135600</v>
      </c>
      <c r="C269" s="19">
        <v>12400</v>
      </c>
      <c r="D269" s="19" t="s">
        <v>99</v>
      </c>
      <c r="E269" s="19" t="s">
        <v>562</v>
      </c>
      <c r="F269" s="19" t="s">
        <v>277</v>
      </c>
      <c r="G269" s="19" t="s">
        <v>296</v>
      </c>
      <c r="H269" s="19" t="s">
        <v>78</v>
      </c>
      <c r="I269" s="19" t="s">
        <v>78</v>
      </c>
      <c r="J269" s="19" t="s">
        <v>78</v>
      </c>
      <c r="K269" s="19" t="s">
        <v>78</v>
      </c>
      <c r="L269" s="19" t="s">
        <v>78</v>
      </c>
      <c r="M269" s="19" t="s">
        <v>78</v>
      </c>
      <c r="N269" s="19" t="s">
        <v>78</v>
      </c>
      <c r="O269" s="19"/>
      <c r="P269" s="19" t="s">
        <v>78</v>
      </c>
      <c r="Q269" s="19" t="s">
        <v>78</v>
      </c>
      <c r="R269" s="19" t="s">
        <v>78</v>
      </c>
      <c r="S269" s="20" t="s">
        <v>78</v>
      </c>
    </row>
    <row r="270" spans="1:19" x14ac:dyDescent="0.35">
      <c r="A270" s="82" t="s">
        <v>111</v>
      </c>
      <c r="B270" s="19">
        <v>57600</v>
      </c>
      <c r="C270" s="19">
        <v>13120</v>
      </c>
      <c r="D270" s="19" t="s">
        <v>99</v>
      </c>
      <c r="E270" s="19" t="s">
        <v>415</v>
      </c>
      <c r="F270" s="19" t="s">
        <v>79</v>
      </c>
      <c r="G270" s="19" t="s">
        <v>78</v>
      </c>
      <c r="H270" s="19" t="s">
        <v>78</v>
      </c>
      <c r="I270" s="19" t="s">
        <v>78</v>
      </c>
      <c r="J270" s="19" t="s">
        <v>78</v>
      </c>
      <c r="K270" s="19" t="s">
        <v>322</v>
      </c>
      <c r="L270" s="19" t="s">
        <v>78</v>
      </c>
      <c r="M270" s="19" t="s">
        <v>78</v>
      </c>
      <c r="N270" s="19" t="s">
        <v>78</v>
      </c>
      <c r="O270" s="19"/>
      <c r="P270" s="19" t="s">
        <v>78</v>
      </c>
      <c r="Q270" s="19" t="s">
        <v>78</v>
      </c>
      <c r="R270" s="19" t="s">
        <v>507</v>
      </c>
      <c r="S270" s="20" t="s">
        <v>78</v>
      </c>
    </row>
    <row r="271" spans="1:19" x14ac:dyDescent="0.35">
      <c r="A271" s="82" t="s">
        <v>111</v>
      </c>
      <c r="B271" s="19">
        <v>409240</v>
      </c>
      <c r="C271" s="19">
        <v>17880</v>
      </c>
      <c r="D271" s="19" t="s">
        <v>99</v>
      </c>
      <c r="E271" s="19" t="s">
        <v>439</v>
      </c>
      <c r="F271" s="19" t="s">
        <v>277</v>
      </c>
      <c r="G271" s="19" t="s">
        <v>307</v>
      </c>
      <c r="H271" s="19" t="s">
        <v>78</v>
      </c>
      <c r="I271" s="19" t="s">
        <v>78</v>
      </c>
      <c r="J271" s="19" t="s">
        <v>78</v>
      </c>
      <c r="K271" s="19" t="s">
        <v>78</v>
      </c>
      <c r="L271" s="19" t="s">
        <v>78</v>
      </c>
      <c r="M271" s="19" t="s">
        <v>78</v>
      </c>
      <c r="N271" s="19" t="s">
        <v>78</v>
      </c>
      <c r="O271" s="19" t="s">
        <v>78</v>
      </c>
      <c r="P271" s="19" t="s">
        <v>78</v>
      </c>
      <c r="Q271" s="19" t="s">
        <v>78</v>
      </c>
      <c r="R271" s="19" t="s">
        <v>78</v>
      </c>
      <c r="S271" s="20" t="s">
        <v>78</v>
      </c>
    </row>
    <row r="272" spans="1:19" x14ac:dyDescent="0.35">
      <c r="A272" s="81" t="s">
        <v>112</v>
      </c>
      <c r="B272" s="17">
        <v>639680</v>
      </c>
      <c r="C272" s="17">
        <v>23080</v>
      </c>
      <c r="D272" s="17" t="s">
        <v>99</v>
      </c>
      <c r="E272" s="17" t="s">
        <v>415</v>
      </c>
      <c r="F272" s="17" t="s">
        <v>13</v>
      </c>
      <c r="G272" s="17" t="s">
        <v>78</v>
      </c>
      <c r="H272" s="17" t="s">
        <v>78</v>
      </c>
      <c r="I272" s="17" t="s">
        <v>78</v>
      </c>
      <c r="J272" s="17" t="s">
        <v>78</v>
      </c>
      <c r="K272" s="17" t="s">
        <v>417</v>
      </c>
      <c r="L272" s="17" t="s">
        <v>78</v>
      </c>
      <c r="M272" s="17" t="s">
        <v>78</v>
      </c>
      <c r="N272" s="17" t="s">
        <v>78</v>
      </c>
      <c r="O272" s="17"/>
      <c r="P272" s="17" t="s">
        <v>78</v>
      </c>
      <c r="Q272" s="17" t="s">
        <v>78</v>
      </c>
      <c r="R272" s="17" t="s">
        <v>78</v>
      </c>
      <c r="S272" s="18" t="s">
        <v>78</v>
      </c>
    </row>
    <row r="273" spans="1:19" x14ac:dyDescent="0.35">
      <c r="A273" s="81" t="s">
        <v>112</v>
      </c>
      <c r="B273" s="17">
        <v>1441400</v>
      </c>
      <c r="C273" s="17">
        <v>7000</v>
      </c>
      <c r="D273" s="17" t="s">
        <v>99</v>
      </c>
      <c r="E273" s="17" t="s">
        <v>421</v>
      </c>
      <c r="F273" s="17" t="s">
        <v>83</v>
      </c>
      <c r="G273" s="17" t="s">
        <v>297</v>
      </c>
      <c r="H273" s="17" t="s">
        <v>78</v>
      </c>
      <c r="I273" s="17" t="s">
        <v>78</v>
      </c>
      <c r="J273" s="17" t="s">
        <v>78</v>
      </c>
      <c r="K273" s="17" t="s">
        <v>345</v>
      </c>
      <c r="L273" s="17" t="s">
        <v>78</v>
      </c>
      <c r="M273" s="17" t="s">
        <v>78</v>
      </c>
      <c r="N273" s="17" t="s">
        <v>78</v>
      </c>
      <c r="O273" s="17"/>
      <c r="P273" s="17" t="s">
        <v>78</v>
      </c>
      <c r="Q273" s="17" t="s">
        <v>78</v>
      </c>
      <c r="R273" s="17" t="s">
        <v>78</v>
      </c>
      <c r="S273" s="18" t="s">
        <v>78</v>
      </c>
    </row>
    <row r="274" spans="1:19" x14ac:dyDescent="0.35">
      <c r="A274" s="82" t="s">
        <v>112</v>
      </c>
      <c r="B274" s="19">
        <v>1551120</v>
      </c>
      <c r="C274" s="19">
        <v>13120</v>
      </c>
      <c r="D274" s="19" t="s">
        <v>99</v>
      </c>
      <c r="E274" s="19" t="s">
        <v>376</v>
      </c>
      <c r="F274" s="19" t="s">
        <v>277</v>
      </c>
      <c r="G274" s="19" t="s">
        <v>282</v>
      </c>
      <c r="H274" s="19" t="s">
        <v>78</v>
      </c>
      <c r="I274" s="19" t="s">
        <v>78</v>
      </c>
      <c r="J274" s="19" t="s">
        <v>78</v>
      </c>
      <c r="K274" s="19" t="s">
        <v>448</v>
      </c>
      <c r="L274" s="19" t="s">
        <v>78</v>
      </c>
      <c r="M274" s="19" t="s">
        <v>78</v>
      </c>
      <c r="N274" s="19" t="s">
        <v>78</v>
      </c>
      <c r="O274" s="19"/>
      <c r="P274" s="19" t="s">
        <v>78</v>
      </c>
      <c r="Q274" s="19" t="s">
        <v>78</v>
      </c>
      <c r="R274" s="19" t="s">
        <v>78</v>
      </c>
      <c r="S274" s="20" t="s">
        <v>78</v>
      </c>
    </row>
    <row r="275" spans="1:19" x14ac:dyDescent="0.35">
      <c r="A275" s="82" t="s">
        <v>112</v>
      </c>
      <c r="B275" s="19">
        <v>534840</v>
      </c>
      <c r="C275" s="19">
        <v>7000</v>
      </c>
      <c r="D275" s="19" t="s">
        <v>99</v>
      </c>
      <c r="E275" s="19" t="s">
        <v>347</v>
      </c>
      <c r="F275" s="19" t="s">
        <v>83</v>
      </c>
      <c r="G275" s="19" t="s">
        <v>17</v>
      </c>
      <c r="H275" s="19" t="s">
        <v>78</v>
      </c>
      <c r="I275" s="19" t="s">
        <v>78</v>
      </c>
      <c r="J275" s="19" t="s">
        <v>78</v>
      </c>
      <c r="K275" s="19" t="s">
        <v>448</v>
      </c>
      <c r="L275" s="19" t="s">
        <v>78</v>
      </c>
      <c r="M275" s="19" t="s">
        <v>78</v>
      </c>
      <c r="N275" s="19" t="s">
        <v>78</v>
      </c>
      <c r="O275" s="19" t="s">
        <v>78</v>
      </c>
      <c r="P275" s="19" t="s">
        <v>78</v>
      </c>
      <c r="Q275" s="19" t="s">
        <v>78</v>
      </c>
      <c r="R275" s="19" t="s">
        <v>78</v>
      </c>
      <c r="S275" s="20" t="s">
        <v>78</v>
      </c>
    </row>
    <row r="276" spans="1:19" x14ac:dyDescent="0.35">
      <c r="A276" s="82" t="s">
        <v>113</v>
      </c>
      <c r="B276" s="19">
        <v>661920</v>
      </c>
      <c r="C276" s="19">
        <v>7000</v>
      </c>
      <c r="D276" s="19" t="s">
        <v>99</v>
      </c>
      <c r="E276" s="19" t="s">
        <v>415</v>
      </c>
      <c r="F276" s="19" t="s">
        <v>10</v>
      </c>
      <c r="G276" s="19" t="s">
        <v>304</v>
      </c>
      <c r="H276" s="19" t="s">
        <v>78</v>
      </c>
      <c r="I276" s="19" t="s">
        <v>78</v>
      </c>
      <c r="J276" s="19" t="s">
        <v>78</v>
      </c>
      <c r="K276" s="19" t="s">
        <v>78</v>
      </c>
      <c r="L276" s="19" t="s">
        <v>78</v>
      </c>
      <c r="M276" s="19" t="s">
        <v>78</v>
      </c>
      <c r="N276" s="19" t="s">
        <v>78</v>
      </c>
      <c r="O276" s="19"/>
      <c r="P276" s="19" t="s">
        <v>78</v>
      </c>
      <c r="Q276" s="19" t="s">
        <v>78</v>
      </c>
      <c r="R276" s="19" t="s">
        <v>78</v>
      </c>
      <c r="S276" s="20" t="s">
        <v>78</v>
      </c>
    </row>
    <row r="277" spans="1:19" x14ac:dyDescent="0.35">
      <c r="A277" s="81" t="s">
        <v>113</v>
      </c>
      <c r="B277" s="17">
        <v>1481880</v>
      </c>
      <c r="C277" s="17">
        <v>11440</v>
      </c>
      <c r="D277" s="17" t="s">
        <v>99</v>
      </c>
      <c r="E277" s="17" t="s">
        <v>563</v>
      </c>
      <c r="F277" s="17" t="s">
        <v>10</v>
      </c>
      <c r="G277" s="17" t="s">
        <v>307</v>
      </c>
      <c r="H277" s="17" t="s">
        <v>78</v>
      </c>
      <c r="I277" s="17" t="s">
        <v>78</v>
      </c>
      <c r="J277" s="17" t="s">
        <v>78</v>
      </c>
      <c r="K277" s="17" t="s">
        <v>318</v>
      </c>
      <c r="L277" s="17" t="s">
        <v>78</v>
      </c>
      <c r="M277" s="17" t="s">
        <v>78</v>
      </c>
      <c r="N277" s="17" t="s">
        <v>78</v>
      </c>
      <c r="O277" s="17"/>
      <c r="P277" s="17" t="s">
        <v>78</v>
      </c>
      <c r="Q277" s="17" t="s">
        <v>78</v>
      </c>
      <c r="R277" s="17" t="s">
        <v>78</v>
      </c>
      <c r="S277" s="18" t="s">
        <v>78</v>
      </c>
    </row>
    <row r="278" spans="1:19" x14ac:dyDescent="0.35">
      <c r="A278" s="82" t="s">
        <v>113</v>
      </c>
      <c r="B278" s="19">
        <v>1575640</v>
      </c>
      <c r="C278" s="19">
        <v>7000</v>
      </c>
      <c r="D278" s="19" t="s">
        <v>99</v>
      </c>
      <c r="E278" s="19" t="s">
        <v>439</v>
      </c>
      <c r="F278" s="19" t="s">
        <v>11</v>
      </c>
      <c r="G278" s="19" t="s">
        <v>297</v>
      </c>
      <c r="H278" s="19" t="s">
        <v>78</v>
      </c>
      <c r="I278" s="19" t="s">
        <v>78</v>
      </c>
      <c r="J278" s="19" t="s">
        <v>78</v>
      </c>
      <c r="K278" s="19" t="s">
        <v>322</v>
      </c>
      <c r="L278" s="19" t="s">
        <v>78</v>
      </c>
      <c r="M278" s="19" t="s">
        <v>78</v>
      </c>
      <c r="N278" s="19" t="s">
        <v>78</v>
      </c>
      <c r="O278" s="19"/>
      <c r="P278" s="19" t="s">
        <v>78</v>
      </c>
      <c r="Q278" s="19" t="s">
        <v>78</v>
      </c>
      <c r="R278" s="19" t="s">
        <v>78</v>
      </c>
      <c r="S278" s="20" t="s">
        <v>78</v>
      </c>
    </row>
    <row r="279" spans="1:19" x14ac:dyDescent="0.35">
      <c r="A279" s="82" t="s">
        <v>113</v>
      </c>
      <c r="B279" s="19">
        <v>591480</v>
      </c>
      <c r="C279" s="19">
        <v>7000</v>
      </c>
      <c r="D279" s="19" t="s">
        <v>99</v>
      </c>
      <c r="E279" s="19" t="s">
        <v>377</v>
      </c>
      <c r="F279" s="19" t="s">
        <v>83</v>
      </c>
      <c r="G279" s="19" t="s">
        <v>15</v>
      </c>
      <c r="H279" s="19" t="s">
        <v>78</v>
      </c>
      <c r="I279" s="19" t="s">
        <v>78</v>
      </c>
      <c r="J279" s="19" t="s">
        <v>78</v>
      </c>
      <c r="K279" s="19" t="s">
        <v>345</v>
      </c>
      <c r="L279" s="19" t="s">
        <v>78</v>
      </c>
      <c r="M279" s="19" t="s">
        <v>78</v>
      </c>
      <c r="N279" s="19" t="s">
        <v>78</v>
      </c>
      <c r="O279" s="19" t="s">
        <v>78</v>
      </c>
      <c r="P279" s="19" t="s">
        <v>78</v>
      </c>
      <c r="Q279" s="19" t="s">
        <v>78</v>
      </c>
      <c r="R279" s="19" t="s">
        <v>78</v>
      </c>
      <c r="S279" s="20" t="s">
        <v>78</v>
      </c>
    </row>
    <row r="280" spans="1:19" x14ac:dyDescent="0.35">
      <c r="A280" s="81" t="s">
        <v>248</v>
      </c>
      <c r="B280" s="17">
        <v>113280</v>
      </c>
      <c r="C280" s="17">
        <v>19000</v>
      </c>
      <c r="D280" s="17" t="s">
        <v>99</v>
      </c>
      <c r="E280" s="17" t="s">
        <v>439</v>
      </c>
      <c r="F280" s="17" t="s">
        <v>83</v>
      </c>
      <c r="G280" s="17" t="s">
        <v>283</v>
      </c>
      <c r="H280" s="17" t="s">
        <v>78</v>
      </c>
      <c r="I280" s="17" t="s">
        <v>78</v>
      </c>
      <c r="J280" s="17" t="s">
        <v>78</v>
      </c>
      <c r="K280" s="17" t="s">
        <v>429</v>
      </c>
      <c r="L280" s="17" t="s">
        <v>78</v>
      </c>
      <c r="M280" s="17" t="s">
        <v>78</v>
      </c>
      <c r="N280" s="17" t="s">
        <v>78</v>
      </c>
      <c r="O280" s="17"/>
      <c r="P280" s="17" t="s">
        <v>78</v>
      </c>
      <c r="Q280" s="17" t="s">
        <v>78</v>
      </c>
      <c r="R280" s="17" t="s">
        <v>78</v>
      </c>
      <c r="S280" s="18" t="s">
        <v>78</v>
      </c>
    </row>
    <row r="281" spans="1:19" x14ac:dyDescent="0.35">
      <c r="A281" s="81" t="s">
        <v>248</v>
      </c>
      <c r="B281" s="17">
        <v>1578200</v>
      </c>
      <c r="C281" s="17">
        <v>7000</v>
      </c>
      <c r="D281" s="17" t="s">
        <v>99</v>
      </c>
      <c r="E281" s="17" t="s">
        <v>344</v>
      </c>
      <c r="F281" s="17" t="s">
        <v>10</v>
      </c>
      <c r="G281" s="17" t="s">
        <v>303</v>
      </c>
      <c r="H281" s="17" t="s">
        <v>78</v>
      </c>
      <c r="I281" s="17" t="s">
        <v>78</v>
      </c>
      <c r="J281" s="17" t="s">
        <v>78</v>
      </c>
      <c r="K281" s="17" t="s">
        <v>318</v>
      </c>
      <c r="L281" s="17" t="s">
        <v>78</v>
      </c>
      <c r="M281" s="17" t="s">
        <v>78</v>
      </c>
      <c r="N281" s="17" t="s">
        <v>78</v>
      </c>
      <c r="O281" s="17"/>
      <c r="P281" s="17" t="s">
        <v>78</v>
      </c>
      <c r="Q281" s="17" t="s">
        <v>78</v>
      </c>
      <c r="R281" s="17" t="s">
        <v>78</v>
      </c>
      <c r="S281" s="18" t="s">
        <v>78</v>
      </c>
    </row>
    <row r="282" spans="1:19" x14ac:dyDescent="0.35">
      <c r="A282" s="82" t="s">
        <v>248</v>
      </c>
      <c r="B282" s="19">
        <v>1766960</v>
      </c>
      <c r="C282" s="19">
        <v>12520</v>
      </c>
      <c r="D282" s="19" t="s">
        <v>99</v>
      </c>
      <c r="E282" s="19" t="s">
        <v>439</v>
      </c>
      <c r="F282" s="19" t="s">
        <v>10</v>
      </c>
      <c r="G282" s="19" t="s">
        <v>302</v>
      </c>
      <c r="H282" s="19" t="s">
        <v>78</v>
      </c>
      <c r="I282" s="19" t="s">
        <v>78</v>
      </c>
      <c r="J282" s="19" t="s">
        <v>78</v>
      </c>
      <c r="K282" s="19" t="s">
        <v>78</v>
      </c>
      <c r="L282" s="19" t="s">
        <v>78</v>
      </c>
      <c r="M282" s="19" t="s">
        <v>78</v>
      </c>
      <c r="N282" s="19" t="s">
        <v>78</v>
      </c>
      <c r="O282" s="19"/>
      <c r="P282" s="19" t="s">
        <v>78</v>
      </c>
      <c r="Q282" s="19" t="s">
        <v>78</v>
      </c>
      <c r="R282" s="19" t="s">
        <v>78</v>
      </c>
      <c r="S282" s="20" t="s">
        <v>78</v>
      </c>
    </row>
    <row r="283" spans="1:19" x14ac:dyDescent="0.35">
      <c r="A283" s="82" t="s">
        <v>248</v>
      </c>
      <c r="B283" s="19">
        <v>625680</v>
      </c>
      <c r="C283" s="19">
        <v>14920</v>
      </c>
      <c r="D283" s="19" t="s">
        <v>99</v>
      </c>
      <c r="E283" s="19" t="s">
        <v>415</v>
      </c>
      <c r="F283" s="19" t="s">
        <v>11</v>
      </c>
      <c r="G283" s="19" t="s">
        <v>304</v>
      </c>
      <c r="H283" s="19" t="s">
        <v>78</v>
      </c>
      <c r="I283" s="19" t="s">
        <v>78</v>
      </c>
      <c r="J283" s="19" t="s">
        <v>78</v>
      </c>
      <c r="K283" s="19" t="s">
        <v>417</v>
      </c>
      <c r="L283" s="19" t="s">
        <v>78</v>
      </c>
      <c r="M283" s="19" t="s">
        <v>78</v>
      </c>
      <c r="N283" s="19" t="s">
        <v>78</v>
      </c>
      <c r="O283" s="19" t="s">
        <v>78</v>
      </c>
      <c r="P283" s="19" t="s">
        <v>78</v>
      </c>
      <c r="Q283" s="19" t="s">
        <v>78</v>
      </c>
      <c r="R283" s="19" t="s">
        <v>78</v>
      </c>
      <c r="S283" s="20" t="s">
        <v>78</v>
      </c>
    </row>
    <row r="284" spans="1:19" x14ac:dyDescent="0.35">
      <c r="A284" s="82" t="s">
        <v>544</v>
      </c>
      <c r="B284" s="19">
        <v>178840</v>
      </c>
      <c r="C284" s="19">
        <v>15560</v>
      </c>
      <c r="D284" s="19" t="s">
        <v>99</v>
      </c>
      <c r="E284" s="19" t="s">
        <v>420</v>
      </c>
      <c r="F284" s="19" t="s">
        <v>11</v>
      </c>
      <c r="G284" s="19" t="s">
        <v>298</v>
      </c>
      <c r="H284" s="19" t="s">
        <v>78</v>
      </c>
      <c r="I284" s="19" t="s">
        <v>78</v>
      </c>
      <c r="J284" s="19" t="s">
        <v>78</v>
      </c>
      <c r="K284" s="19" t="s">
        <v>429</v>
      </c>
      <c r="L284" s="19" t="s">
        <v>78</v>
      </c>
      <c r="M284" s="19" t="s">
        <v>78</v>
      </c>
      <c r="N284" s="19" t="s">
        <v>78</v>
      </c>
      <c r="O284" s="19"/>
      <c r="P284" s="19" t="s">
        <v>78</v>
      </c>
      <c r="Q284" s="19" t="s">
        <v>78</v>
      </c>
      <c r="R284" s="19" t="s">
        <v>78</v>
      </c>
      <c r="S284" s="20" t="s">
        <v>78</v>
      </c>
    </row>
    <row r="285" spans="1:19" x14ac:dyDescent="0.35">
      <c r="A285" s="82" t="s">
        <v>544</v>
      </c>
      <c r="B285" s="19">
        <v>1758720</v>
      </c>
      <c r="C285" s="19">
        <v>17400</v>
      </c>
      <c r="D285" s="19" t="s">
        <v>99</v>
      </c>
      <c r="E285" s="19" t="s">
        <v>415</v>
      </c>
      <c r="F285" s="19" t="s">
        <v>13</v>
      </c>
      <c r="G285" s="19" t="s">
        <v>78</v>
      </c>
      <c r="H285" s="19" t="s">
        <v>78</v>
      </c>
      <c r="I285" s="19" t="s">
        <v>78</v>
      </c>
      <c r="J285" s="19" t="s">
        <v>78</v>
      </c>
      <c r="K285" s="19" t="s">
        <v>417</v>
      </c>
      <c r="L285" s="19" t="s">
        <v>78</v>
      </c>
      <c r="M285" s="19" t="s">
        <v>78</v>
      </c>
      <c r="N285" s="19" t="s">
        <v>78</v>
      </c>
      <c r="O285" s="19"/>
      <c r="P285" s="19" t="s">
        <v>78</v>
      </c>
      <c r="Q285" s="19" t="s">
        <v>78</v>
      </c>
      <c r="R285" s="19" t="s">
        <v>78</v>
      </c>
      <c r="S285" s="20" t="s">
        <v>78</v>
      </c>
    </row>
    <row r="286" spans="1:19" x14ac:dyDescent="0.35">
      <c r="A286" s="82" t="s">
        <v>544</v>
      </c>
      <c r="B286" s="19">
        <v>1853600</v>
      </c>
      <c r="C286" s="19">
        <v>12320</v>
      </c>
      <c r="D286" s="19" t="s">
        <v>99</v>
      </c>
      <c r="E286" s="19" t="s">
        <v>377</v>
      </c>
      <c r="F286" s="19" t="s">
        <v>11</v>
      </c>
      <c r="G286" s="19" t="s">
        <v>15</v>
      </c>
      <c r="H286" s="19" t="s">
        <v>78</v>
      </c>
      <c r="I286" s="19" t="s">
        <v>78</v>
      </c>
      <c r="J286" s="19" t="s">
        <v>78</v>
      </c>
      <c r="K286" s="19" t="s">
        <v>429</v>
      </c>
      <c r="L286" s="19" t="s">
        <v>78</v>
      </c>
      <c r="M286" s="19" t="s">
        <v>78</v>
      </c>
      <c r="N286" s="19" t="s">
        <v>78</v>
      </c>
      <c r="O286" s="19"/>
      <c r="P286" s="19" t="s">
        <v>78</v>
      </c>
      <c r="Q286" s="19" t="s">
        <v>78</v>
      </c>
      <c r="R286" s="19" t="s">
        <v>78</v>
      </c>
      <c r="S286" s="20" t="s">
        <v>78</v>
      </c>
    </row>
    <row r="287" spans="1:19" x14ac:dyDescent="0.35">
      <c r="A287" s="81" t="s">
        <v>543</v>
      </c>
      <c r="B287" s="17">
        <v>340400</v>
      </c>
      <c r="C287" s="17">
        <v>27440</v>
      </c>
      <c r="D287" s="17" t="s">
        <v>99</v>
      </c>
      <c r="E287" s="17" t="s">
        <v>344</v>
      </c>
      <c r="F287" s="17" t="s">
        <v>10</v>
      </c>
      <c r="G287" s="17" t="s">
        <v>308</v>
      </c>
      <c r="H287" s="17" t="s">
        <v>78</v>
      </c>
      <c r="I287" s="17" t="s">
        <v>78</v>
      </c>
      <c r="J287" s="17" t="s">
        <v>78</v>
      </c>
      <c r="K287" s="17" t="s">
        <v>429</v>
      </c>
      <c r="L287" s="17" t="s">
        <v>78</v>
      </c>
      <c r="M287" s="17" t="s">
        <v>78</v>
      </c>
      <c r="N287" s="17" t="s">
        <v>78</v>
      </c>
      <c r="O287" s="17"/>
      <c r="P287" s="17" t="s">
        <v>78</v>
      </c>
      <c r="Q287" s="17" t="s">
        <v>78</v>
      </c>
      <c r="R287" s="17" t="s">
        <v>78</v>
      </c>
      <c r="S287" s="18" t="s">
        <v>78</v>
      </c>
    </row>
    <row r="288" spans="1:19" x14ac:dyDescent="0.35">
      <c r="A288" s="81" t="s">
        <v>543</v>
      </c>
      <c r="B288" s="17">
        <v>1771560</v>
      </c>
      <c r="C288" s="17">
        <v>26080</v>
      </c>
      <c r="D288" s="17" t="s">
        <v>99</v>
      </c>
      <c r="E288" s="17" t="s">
        <v>376</v>
      </c>
      <c r="F288" s="17" t="s">
        <v>105</v>
      </c>
      <c r="G288" s="17" t="s">
        <v>78</v>
      </c>
      <c r="H288" s="17" t="s">
        <v>78</v>
      </c>
      <c r="I288" s="17" t="s">
        <v>78</v>
      </c>
      <c r="J288" s="17" t="s">
        <v>78</v>
      </c>
      <c r="K288" s="17" t="s">
        <v>417</v>
      </c>
      <c r="L288" s="17" t="s">
        <v>78</v>
      </c>
      <c r="M288" s="17" t="s">
        <v>78</v>
      </c>
      <c r="N288" s="17" t="s">
        <v>78</v>
      </c>
      <c r="O288" s="17"/>
      <c r="P288" s="17" t="s">
        <v>78</v>
      </c>
      <c r="Q288" s="17" t="s">
        <v>78</v>
      </c>
      <c r="R288" s="17" t="s">
        <v>78</v>
      </c>
      <c r="S288" s="18" t="s">
        <v>78</v>
      </c>
    </row>
    <row r="289" spans="1:19" x14ac:dyDescent="0.35">
      <c r="A289" s="82" t="s">
        <v>543</v>
      </c>
      <c r="B289" s="19">
        <v>1956920</v>
      </c>
      <c r="C289" s="19">
        <v>12720</v>
      </c>
      <c r="D289" s="19" t="s">
        <v>99</v>
      </c>
      <c r="E289" s="19" t="s">
        <v>376</v>
      </c>
      <c r="F289" s="19" t="s">
        <v>13</v>
      </c>
      <c r="G289" s="19" t="s">
        <v>78</v>
      </c>
      <c r="H289" s="19" t="s">
        <v>78</v>
      </c>
      <c r="I289" s="19" t="s">
        <v>78</v>
      </c>
      <c r="J289" s="19" t="s">
        <v>78</v>
      </c>
      <c r="K289" s="19" t="s">
        <v>318</v>
      </c>
      <c r="L289" s="19" t="s">
        <v>78</v>
      </c>
      <c r="M289" s="19" t="s">
        <v>78</v>
      </c>
      <c r="N289" s="19" t="s">
        <v>78</v>
      </c>
      <c r="O289" s="19"/>
      <c r="P289" s="19" t="s">
        <v>78</v>
      </c>
      <c r="Q289" s="19" t="s">
        <v>78</v>
      </c>
      <c r="R289" s="19" t="s">
        <v>78</v>
      </c>
      <c r="S289" s="20" t="s">
        <v>78</v>
      </c>
    </row>
    <row r="290" spans="1:19" x14ac:dyDescent="0.35">
      <c r="A290" s="82" t="s">
        <v>542</v>
      </c>
      <c r="B290" s="19">
        <v>385960</v>
      </c>
      <c r="C290" s="19">
        <v>15120</v>
      </c>
      <c r="D290" s="19" t="s">
        <v>99</v>
      </c>
      <c r="E290" s="19" t="s">
        <v>439</v>
      </c>
      <c r="F290" s="19" t="s">
        <v>11</v>
      </c>
      <c r="G290" s="19" t="s">
        <v>307</v>
      </c>
      <c r="H290" s="19" t="s">
        <v>78</v>
      </c>
      <c r="I290" s="19" t="s">
        <v>78</v>
      </c>
      <c r="J290" s="19" t="s">
        <v>78</v>
      </c>
      <c r="K290" s="19" t="s">
        <v>318</v>
      </c>
      <c r="L290" s="19" t="s">
        <v>78</v>
      </c>
      <c r="M290" s="19" t="s">
        <v>78</v>
      </c>
      <c r="N290" s="19" t="s">
        <v>78</v>
      </c>
      <c r="O290" s="19"/>
      <c r="P290" s="19" t="s">
        <v>78</v>
      </c>
      <c r="Q290" s="19" t="s">
        <v>78</v>
      </c>
      <c r="R290" s="19" t="s">
        <v>78</v>
      </c>
      <c r="S290" s="20" t="s">
        <v>78</v>
      </c>
    </row>
    <row r="291" spans="1:19" x14ac:dyDescent="0.35">
      <c r="A291" s="81" t="s">
        <v>542</v>
      </c>
      <c r="B291" s="17">
        <v>2018720</v>
      </c>
      <c r="C291" s="17">
        <v>21040</v>
      </c>
      <c r="D291" s="17" t="s">
        <v>99</v>
      </c>
      <c r="E291" s="17" t="s">
        <v>377</v>
      </c>
      <c r="F291" s="17" t="s">
        <v>10</v>
      </c>
      <c r="G291" s="17" t="s">
        <v>15</v>
      </c>
      <c r="H291" s="17" t="s">
        <v>78</v>
      </c>
      <c r="I291" s="17" t="s">
        <v>78</v>
      </c>
      <c r="J291" s="17" t="s">
        <v>78</v>
      </c>
      <c r="K291" s="17" t="s">
        <v>318</v>
      </c>
      <c r="L291" s="17" t="s">
        <v>78</v>
      </c>
      <c r="M291" s="17" t="s">
        <v>78</v>
      </c>
      <c r="N291" s="17" t="s">
        <v>78</v>
      </c>
      <c r="O291" s="17"/>
      <c r="P291" s="17" t="s">
        <v>78</v>
      </c>
      <c r="Q291" s="17" t="s">
        <v>78</v>
      </c>
      <c r="R291" s="17" t="s">
        <v>78</v>
      </c>
      <c r="S291" s="18" t="s">
        <v>78</v>
      </c>
    </row>
    <row r="292" spans="1:19" x14ac:dyDescent="0.35">
      <c r="A292" s="82" t="s">
        <v>542</v>
      </c>
      <c r="B292" s="19">
        <v>1978040</v>
      </c>
      <c r="C292" s="19">
        <v>7000</v>
      </c>
      <c r="D292" s="19" t="s">
        <v>99</v>
      </c>
      <c r="E292" s="19" t="s">
        <v>439</v>
      </c>
      <c r="F292" s="19" t="s">
        <v>10</v>
      </c>
      <c r="G292" s="19" t="s">
        <v>308</v>
      </c>
      <c r="H292" s="19" t="s">
        <v>78</v>
      </c>
      <c r="I292" s="19" t="s">
        <v>78</v>
      </c>
      <c r="J292" s="19" t="s">
        <v>78</v>
      </c>
      <c r="K292" s="19" t="s">
        <v>345</v>
      </c>
      <c r="L292" s="19" t="s">
        <v>78</v>
      </c>
      <c r="M292" s="19" t="s">
        <v>78</v>
      </c>
      <c r="N292" s="19" t="s">
        <v>78</v>
      </c>
      <c r="O292" s="19"/>
      <c r="P292" s="19" t="s">
        <v>78</v>
      </c>
      <c r="Q292" s="19" t="s">
        <v>78</v>
      </c>
      <c r="R292" s="19" t="s">
        <v>78</v>
      </c>
      <c r="S292" s="20" t="s">
        <v>78</v>
      </c>
    </row>
    <row r="293" spans="1:19" x14ac:dyDescent="0.35">
      <c r="A293" s="81" t="s">
        <v>541</v>
      </c>
      <c r="B293" s="17">
        <v>433120</v>
      </c>
      <c r="C293" s="17">
        <v>12680</v>
      </c>
      <c r="D293" s="17" t="s">
        <v>99</v>
      </c>
      <c r="E293" s="17" t="s">
        <v>344</v>
      </c>
      <c r="F293" s="17" t="s">
        <v>13</v>
      </c>
      <c r="G293" s="17" t="s">
        <v>78</v>
      </c>
      <c r="H293" s="17" t="s">
        <v>78</v>
      </c>
      <c r="I293" s="17" t="s">
        <v>78</v>
      </c>
      <c r="J293" s="17" t="s">
        <v>78</v>
      </c>
      <c r="K293" s="17" t="s">
        <v>318</v>
      </c>
      <c r="L293" s="17" t="s">
        <v>78</v>
      </c>
      <c r="M293" s="17" t="s">
        <v>78</v>
      </c>
      <c r="N293" s="17" t="s">
        <v>78</v>
      </c>
      <c r="O293" s="17"/>
      <c r="P293" s="17" t="s">
        <v>78</v>
      </c>
      <c r="Q293" s="17" t="s">
        <v>78</v>
      </c>
      <c r="R293" s="17" t="s">
        <v>78</v>
      </c>
      <c r="S293" s="18" t="s">
        <v>78</v>
      </c>
    </row>
    <row r="294" spans="1:19" x14ac:dyDescent="0.35">
      <c r="A294" s="81" t="s">
        <v>541</v>
      </c>
      <c r="B294" s="17">
        <v>73440</v>
      </c>
      <c r="C294" s="17">
        <v>12000</v>
      </c>
      <c r="D294" s="17" t="s">
        <v>99</v>
      </c>
      <c r="E294" s="17" t="s">
        <v>346</v>
      </c>
      <c r="F294" s="17" t="s">
        <v>13</v>
      </c>
      <c r="G294" s="17" t="s">
        <v>78</v>
      </c>
      <c r="H294" s="17" t="s">
        <v>78</v>
      </c>
      <c r="I294" s="17" t="s">
        <v>78</v>
      </c>
      <c r="J294" s="17" t="s">
        <v>78</v>
      </c>
      <c r="K294" s="17" t="s">
        <v>345</v>
      </c>
      <c r="L294" s="17" t="s">
        <v>78</v>
      </c>
      <c r="M294" s="17" t="s">
        <v>78</v>
      </c>
      <c r="N294" s="17" t="s">
        <v>78</v>
      </c>
      <c r="O294" s="17"/>
      <c r="P294" s="17" t="s">
        <v>78</v>
      </c>
      <c r="Q294" s="17" t="s">
        <v>78</v>
      </c>
      <c r="R294" s="17" t="s">
        <v>78</v>
      </c>
      <c r="S294" s="18" t="s">
        <v>78</v>
      </c>
    </row>
    <row r="295" spans="1:19" x14ac:dyDescent="0.35">
      <c r="A295" s="82" t="s">
        <v>541</v>
      </c>
      <c r="B295" s="19">
        <v>59120</v>
      </c>
      <c r="C295" s="19">
        <v>13720</v>
      </c>
      <c r="D295" s="19" t="s">
        <v>99</v>
      </c>
      <c r="E295" s="19" t="s">
        <v>562</v>
      </c>
      <c r="F295" s="19" t="s">
        <v>11</v>
      </c>
      <c r="G295" s="19" t="s">
        <v>298</v>
      </c>
      <c r="H295" s="19" t="s">
        <v>78</v>
      </c>
      <c r="I295" s="19" t="s">
        <v>78</v>
      </c>
      <c r="J295" s="19" t="s">
        <v>78</v>
      </c>
      <c r="K295" s="19" t="s">
        <v>429</v>
      </c>
      <c r="L295" s="19" t="s">
        <v>78</v>
      </c>
      <c r="M295" s="19" t="s">
        <v>78</v>
      </c>
      <c r="N295" s="19" t="s">
        <v>78</v>
      </c>
      <c r="O295" s="19"/>
      <c r="P295" s="19" t="s">
        <v>78</v>
      </c>
      <c r="Q295" s="19" t="s">
        <v>78</v>
      </c>
      <c r="R295" s="19" t="s">
        <v>78</v>
      </c>
      <c r="S295" s="20" t="s">
        <v>78</v>
      </c>
    </row>
    <row r="296" spans="1:19" x14ac:dyDescent="0.35">
      <c r="A296" s="82" t="s">
        <v>540</v>
      </c>
      <c r="B296" s="19">
        <v>446160</v>
      </c>
      <c r="C296" s="19">
        <v>13880</v>
      </c>
      <c r="D296" s="19" t="s">
        <v>99</v>
      </c>
      <c r="E296" s="19" t="s">
        <v>439</v>
      </c>
      <c r="F296" s="19" t="s">
        <v>13</v>
      </c>
      <c r="G296" s="19" t="s">
        <v>78</v>
      </c>
      <c r="H296" s="19" t="s">
        <v>78</v>
      </c>
      <c r="I296" s="19" t="s">
        <v>78</v>
      </c>
      <c r="J296" s="19" t="s">
        <v>78</v>
      </c>
      <c r="K296" s="19" t="s">
        <v>322</v>
      </c>
      <c r="L296" s="19" t="s">
        <v>78</v>
      </c>
      <c r="M296" s="19" t="s">
        <v>78</v>
      </c>
      <c r="N296" s="19" t="s">
        <v>78</v>
      </c>
      <c r="O296" s="19"/>
      <c r="P296" s="19" t="s">
        <v>78</v>
      </c>
      <c r="Q296" s="19" t="s">
        <v>78</v>
      </c>
      <c r="R296" s="19" t="s">
        <v>78</v>
      </c>
      <c r="S296" s="20" t="s">
        <v>78</v>
      </c>
    </row>
    <row r="297" spans="1:19" x14ac:dyDescent="0.35">
      <c r="A297" s="81" t="s">
        <v>540</v>
      </c>
      <c r="B297" s="17">
        <v>87800</v>
      </c>
      <c r="C297" s="17">
        <v>7000</v>
      </c>
      <c r="D297" s="17" t="s">
        <v>99</v>
      </c>
      <c r="E297" s="17" t="s">
        <v>562</v>
      </c>
      <c r="F297" s="17" t="s">
        <v>79</v>
      </c>
      <c r="G297" s="17" t="s">
        <v>78</v>
      </c>
      <c r="H297" s="17" t="s">
        <v>78</v>
      </c>
      <c r="I297" s="17" t="s">
        <v>78</v>
      </c>
      <c r="J297" s="17" t="s">
        <v>78</v>
      </c>
      <c r="K297" s="17" t="s">
        <v>345</v>
      </c>
      <c r="L297" s="17" t="s">
        <v>78</v>
      </c>
      <c r="M297" s="17" t="s">
        <v>78</v>
      </c>
      <c r="N297" s="17" t="s">
        <v>78</v>
      </c>
      <c r="O297" s="17"/>
      <c r="P297" s="17" t="s">
        <v>78</v>
      </c>
      <c r="Q297" s="17" t="s">
        <v>78</v>
      </c>
      <c r="R297" s="17" t="s">
        <v>315</v>
      </c>
      <c r="S297" s="18" t="s">
        <v>78</v>
      </c>
    </row>
    <row r="298" spans="1:19" x14ac:dyDescent="0.35">
      <c r="A298" s="82" t="s">
        <v>540</v>
      </c>
      <c r="B298" s="19">
        <v>128960</v>
      </c>
      <c r="C298" s="19">
        <v>14680</v>
      </c>
      <c r="D298" s="19" t="s">
        <v>99</v>
      </c>
      <c r="E298" s="19" t="s">
        <v>562</v>
      </c>
      <c r="F298" s="19" t="s">
        <v>105</v>
      </c>
      <c r="G298" s="19" t="s">
        <v>78</v>
      </c>
      <c r="H298" s="19" t="s">
        <v>78</v>
      </c>
      <c r="I298" s="19" t="s">
        <v>78</v>
      </c>
      <c r="J298" s="19" t="s">
        <v>78</v>
      </c>
      <c r="K298" s="19" t="s">
        <v>429</v>
      </c>
      <c r="L298" s="19" t="s">
        <v>78</v>
      </c>
      <c r="M298" s="19" t="s">
        <v>78</v>
      </c>
      <c r="N298" s="19" t="s">
        <v>78</v>
      </c>
      <c r="O298" s="19"/>
      <c r="P298" s="19" t="s">
        <v>78</v>
      </c>
      <c r="Q298" s="19" t="s">
        <v>78</v>
      </c>
      <c r="R298" s="19" t="s">
        <v>78</v>
      </c>
      <c r="S298" s="20" t="s">
        <v>78</v>
      </c>
    </row>
    <row r="299" spans="1:19" x14ac:dyDescent="0.35">
      <c r="A299" s="81" t="s">
        <v>539</v>
      </c>
      <c r="B299" s="17">
        <v>465560</v>
      </c>
      <c r="C299" s="17">
        <v>7000</v>
      </c>
      <c r="D299" s="17" t="s">
        <v>99</v>
      </c>
      <c r="E299" s="17" t="s">
        <v>344</v>
      </c>
      <c r="F299" s="17" t="s">
        <v>83</v>
      </c>
      <c r="G299" s="17" t="s">
        <v>308</v>
      </c>
      <c r="H299" s="17" t="s">
        <v>78</v>
      </c>
      <c r="I299" s="17" t="s">
        <v>78</v>
      </c>
      <c r="J299" s="17" t="s">
        <v>78</v>
      </c>
      <c r="K299" s="17" t="s">
        <v>345</v>
      </c>
      <c r="L299" s="17" t="s">
        <v>78</v>
      </c>
      <c r="M299" s="17" t="s">
        <v>78</v>
      </c>
      <c r="N299" s="17" t="s">
        <v>78</v>
      </c>
      <c r="O299" s="17"/>
      <c r="P299" s="17" t="s">
        <v>78</v>
      </c>
      <c r="Q299" s="17" t="s">
        <v>78</v>
      </c>
      <c r="R299" s="17" t="s">
        <v>78</v>
      </c>
      <c r="S299" s="18" t="s">
        <v>78</v>
      </c>
    </row>
    <row r="300" spans="1:19" x14ac:dyDescent="0.35">
      <c r="A300" s="81" t="s">
        <v>539</v>
      </c>
      <c r="B300" s="17">
        <v>224760</v>
      </c>
      <c r="C300" s="17">
        <v>18720</v>
      </c>
      <c r="D300" s="17" t="s">
        <v>99</v>
      </c>
      <c r="E300" s="17" t="s">
        <v>421</v>
      </c>
      <c r="F300" s="17" t="s">
        <v>11</v>
      </c>
      <c r="G300" s="17" t="s">
        <v>298</v>
      </c>
      <c r="H300" s="17" t="s">
        <v>78</v>
      </c>
      <c r="I300" s="17" t="s">
        <v>78</v>
      </c>
      <c r="J300" s="17" t="s">
        <v>78</v>
      </c>
      <c r="K300" s="17" t="s">
        <v>322</v>
      </c>
      <c r="L300" s="17" t="s">
        <v>78</v>
      </c>
      <c r="M300" s="17" t="s">
        <v>78</v>
      </c>
      <c r="N300" s="17" t="s">
        <v>78</v>
      </c>
      <c r="O300" s="17"/>
      <c r="P300" s="17" t="s">
        <v>78</v>
      </c>
      <c r="Q300" s="17" t="s">
        <v>78</v>
      </c>
      <c r="R300" s="17" t="s">
        <v>78</v>
      </c>
      <c r="S300" s="18" t="s">
        <v>78</v>
      </c>
    </row>
    <row r="301" spans="1:19" x14ac:dyDescent="0.35">
      <c r="A301" s="82" t="s">
        <v>539</v>
      </c>
      <c r="B301" s="19">
        <v>251440</v>
      </c>
      <c r="C301" s="19">
        <v>15520</v>
      </c>
      <c r="D301" s="19" t="s">
        <v>99</v>
      </c>
      <c r="E301" s="19" t="s">
        <v>78</v>
      </c>
      <c r="F301" s="19" t="s">
        <v>13</v>
      </c>
      <c r="G301" s="19" t="s">
        <v>78</v>
      </c>
      <c r="H301" s="19" t="s">
        <v>78</v>
      </c>
      <c r="I301" s="19" t="s">
        <v>78</v>
      </c>
      <c r="J301" s="19" t="s">
        <v>78</v>
      </c>
      <c r="K301" s="19" t="s">
        <v>429</v>
      </c>
      <c r="L301" s="19" t="s">
        <v>78</v>
      </c>
      <c r="M301" s="19" t="s">
        <v>78</v>
      </c>
      <c r="N301" s="19" t="s">
        <v>78</v>
      </c>
      <c r="O301" s="19"/>
      <c r="P301" s="19" t="s">
        <v>78</v>
      </c>
      <c r="Q301" s="19" t="s">
        <v>78</v>
      </c>
      <c r="R301" s="19" t="s">
        <v>78</v>
      </c>
      <c r="S301" s="20" t="s">
        <v>78</v>
      </c>
    </row>
    <row r="302" spans="1:19" x14ac:dyDescent="0.35">
      <c r="A302" s="82" t="s">
        <v>538</v>
      </c>
      <c r="B302" s="19">
        <v>491000</v>
      </c>
      <c r="C302" s="19">
        <v>12040</v>
      </c>
      <c r="D302" s="19" t="s">
        <v>99</v>
      </c>
      <c r="E302" s="19" t="s">
        <v>439</v>
      </c>
      <c r="F302" s="19" t="s">
        <v>11</v>
      </c>
      <c r="G302" s="19" t="s">
        <v>308</v>
      </c>
      <c r="H302" s="19" t="s">
        <v>78</v>
      </c>
      <c r="I302" s="19" t="s">
        <v>78</v>
      </c>
      <c r="J302" s="19" t="s">
        <v>78</v>
      </c>
      <c r="K302" s="19" t="s">
        <v>345</v>
      </c>
      <c r="L302" s="19" t="s">
        <v>78</v>
      </c>
      <c r="M302" s="19" t="s">
        <v>78</v>
      </c>
      <c r="N302" s="19" t="s">
        <v>78</v>
      </c>
      <c r="O302" s="19"/>
      <c r="P302" s="19" t="s">
        <v>78</v>
      </c>
      <c r="Q302" s="19" t="s">
        <v>78</v>
      </c>
      <c r="R302" s="19" t="s">
        <v>78</v>
      </c>
      <c r="S302" s="20" t="s">
        <v>78</v>
      </c>
    </row>
    <row r="303" spans="1:19" x14ac:dyDescent="0.35">
      <c r="A303" s="82" t="s">
        <v>538</v>
      </c>
      <c r="B303" s="19">
        <v>292000</v>
      </c>
      <c r="C303" s="19">
        <v>13640</v>
      </c>
      <c r="D303" s="19" t="s">
        <v>99</v>
      </c>
      <c r="E303" s="19" t="s">
        <v>421</v>
      </c>
      <c r="F303" s="19" t="s">
        <v>10</v>
      </c>
      <c r="G303" s="19" t="s">
        <v>283</v>
      </c>
      <c r="H303" s="19" t="s">
        <v>78</v>
      </c>
      <c r="I303" s="19" t="s">
        <v>78</v>
      </c>
      <c r="J303" s="19" t="s">
        <v>78</v>
      </c>
      <c r="K303" s="19" t="s">
        <v>322</v>
      </c>
      <c r="L303" s="19" t="s">
        <v>78</v>
      </c>
      <c r="M303" s="19" t="s">
        <v>78</v>
      </c>
      <c r="N303" s="19" t="s">
        <v>78</v>
      </c>
      <c r="O303" s="19"/>
      <c r="P303" s="19" t="s">
        <v>78</v>
      </c>
      <c r="Q303" s="19" t="s">
        <v>78</v>
      </c>
      <c r="R303" s="19" t="s">
        <v>78</v>
      </c>
      <c r="S303" s="20" t="s">
        <v>78</v>
      </c>
    </row>
    <row r="304" spans="1:19" x14ac:dyDescent="0.35">
      <c r="A304" s="82" t="s">
        <v>538</v>
      </c>
      <c r="B304" s="19">
        <v>277120</v>
      </c>
      <c r="C304" s="19">
        <v>11160</v>
      </c>
      <c r="D304" s="19" t="s">
        <v>99</v>
      </c>
      <c r="E304" s="19" t="s">
        <v>346</v>
      </c>
      <c r="F304" s="19" t="s">
        <v>79</v>
      </c>
      <c r="G304" s="19" t="s">
        <v>78</v>
      </c>
      <c r="H304" s="19" t="s">
        <v>78</v>
      </c>
      <c r="I304" s="19" t="s">
        <v>78</v>
      </c>
      <c r="J304" s="19" t="s">
        <v>78</v>
      </c>
      <c r="K304" s="19" t="s">
        <v>448</v>
      </c>
      <c r="L304" s="19" t="s">
        <v>78</v>
      </c>
      <c r="M304" s="19" t="s">
        <v>78</v>
      </c>
      <c r="N304" s="19" t="s">
        <v>78</v>
      </c>
      <c r="O304" s="19"/>
      <c r="P304" s="19" t="s">
        <v>78</v>
      </c>
      <c r="Q304" s="19" t="s">
        <v>78</v>
      </c>
      <c r="R304" s="19" t="s">
        <v>151</v>
      </c>
      <c r="S304" s="20" t="s">
        <v>78</v>
      </c>
    </row>
    <row r="305" spans="1:19" x14ac:dyDescent="0.35">
      <c r="A305" s="82" t="s">
        <v>114</v>
      </c>
      <c r="B305" s="19">
        <v>515080</v>
      </c>
      <c r="C305" s="19">
        <v>21480</v>
      </c>
      <c r="D305" s="19" t="s">
        <v>99</v>
      </c>
      <c r="E305" s="19" t="s">
        <v>439</v>
      </c>
      <c r="F305" s="19" t="s">
        <v>11</v>
      </c>
      <c r="G305" s="19" t="s">
        <v>282</v>
      </c>
      <c r="H305" s="19" t="s">
        <v>78</v>
      </c>
      <c r="I305" s="19" t="s">
        <v>78</v>
      </c>
      <c r="J305" s="19" t="s">
        <v>78</v>
      </c>
      <c r="K305" s="19" t="s">
        <v>318</v>
      </c>
      <c r="L305" s="19" t="s">
        <v>78</v>
      </c>
      <c r="M305" s="19" t="s">
        <v>78</v>
      </c>
      <c r="N305" s="19" t="s">
        <v>78</v>
      </c>
      <c r="O305" s="19"/>
      <c r="P305" s="19" t="s">
        <v>78</v>
      </c>
      <c r="Q305" s="19" t="s">
        <v>78</v>
      </c>
      <c r="R305" s="19" t="s">
        <v>78</v>
      </c>
      <c r="S305" s="20" t="s">
        <v>78</v>
      </c>
    </row>
    <row r="306" spans="1:19" x14ac:dyDescent="0.35">
      <c r="A306" s="82" t="s">
        <v>114</v>
      </c>
      <c r="B306" s="19">
        <v>153280</v>
      </c>
      <c r="C306" s="19">
        <v>14360</v>
      </c>
      <c r="D306" s="19" t="s">
        <v>99</v>
      </c>
      <c r="E306" s="19" t="s">
        <v>415</v>
      </c>
      <c r="F306" s="19" t="s">
        <v>83</v>
      </c>
      <c r="G306" s="19" t="s">
        <v>304</v>
      </c>
      <c r="H306" s="19" t="s">
        <v>78</v>
      </c>
      <c r="I306" s="19" t="s">
        <v>78</v>
      </c>
      <c r="J306" s="19" t="s">
        <v>78</v>
      </c>
      <c r="K306" s="19" t="s">
        <v>345</v>
      </c>
      <c r="L306" s="19" t="s">
        <v>78</v>
      </c>
      <c r="M306" s="19" t="s">
        <v>78</v>
      </c>
      <c r="N306" s="19" t="s">
        <v>78</v>
      </c>
      <c r="O306" s="19"/>
      <c r="P306" s="19" t="s">
        <v>78</v>
      </c>
      <c r="Q306" s="19" t="s">
        <v>78</v>
      </c>
      <c r="R306" s="19" t="s">
        <v>78</v>
      </c>
      <c r="S306" s="20" t="s">
        <v>78</v>
      </c>
    </row>
    <row r="307" spans="1:19" x14ac:dyDescent="0.35">
      <c r="A307" s="81" t="s">
        <v>114</v>
      </c>
      <c r="B307" s="17">
        <v>878200</v>
      </c>
      <c r="C307" s="17">
        <v>13760</v>
      </c>
      <c r="D307" s="17" t="s">
        <v>99</v>
      </c>
      <c r="E307" s="17" t="s">
        <v>421</v>
      </c>
      <c r="F307" s="17" t="s">
        <v>79</v>
      </c>
      <c r="G307" s="17" t="s">
        <v>78</v>
      </c>
      <c r="H307" s="17" t="s">
        <v>78</v>
      </c>
      <c r="I307" s="17" t="s">
        <v>78</v>
      </c>
      <c r="J307" s="17" t="s">
        <v>78</v>
      </c>
      <c r="K307" s="17" t="s">
        <v>345</v>
      </c>
      <c r="L307" s="17" t="s">
        <v>78</v>
      </c>
      <c r="M307" s="17" t="s">
        <v>78</v>
      </c>
      <c r="N307" s="17" t="s">
        <v>78</v>
      </c>
      <c r="O307" s="17"/>
      <c r="P307" s="17" t="s">
        <v>78</v>
      </c>
      <c r="Q307" s="17" t="s">
        <v>78</v>
      </c>
      <c r="R307" s="17" t="s">
        <v>314</v>
      </c>
      <c r="S307" s="18" t="s">
        <v>78</v>
      </c>
    </row>
    <row r="308" spans="1:19" x14ac:dyDescent="0.35">
      <c r="A308" s="82" t="s">
        <v>114</v>
      </c>
      <c r="B308" s="19">
        <v>100280</v>
      </c>
      <c r="C308" s="19">
        <v>20880</v>
      </c>
      <c r="D308" s="19" t="s">
        <v>99</v>
      </c>
      <c r="E308" s="19" t="s">
        <v>348</v>
      </c>
      <c r="F308" s="19" t="s">
        <v>79</v>
      </c>
      <c r="G308" s="19" t="s">
        <v>78</v>
      </c>
      <c r="H308" s="19" t="s">
        <v>78</v>
      </c>
      <c r="I308" s="19" t="s">
        <v>78</v>
      </c>
      <c r="J308" s="19" t="s">
        <v>78</v>
      </c>
      <c r="K308" s="19" t="s">
        <v>322</v>
      </c>
      <c r="L308" s="19" t="s">
        <v>78</v>
      </c>
      <c r="M308" s="19" t="s">
        <v>78</v>
      </c>
      <c r="N308" s="19" t="s">
        <v>78</v>
      </c>
      <c r="O308" s="19"/>
      <c r="P308" s="19" t="s">
        <v>78</v>
      </c>
      <c r="Q308" s="19" t="s">
        <v>78</v>
      </c>
      <c r="R308" s="19" t="s">
        <v>219</v>
      </c>
      <c r="S308" s="20" t="s">
        <v>78</v>
      </c>
    </row>
    <row r="309" spans="1:19" x14ac:dyDescent="0.35">
      <c r="A309" s="82" t="s">
        <v>114</v>
      </c>
      <c r="B309" s="19">
        <v>436640</v>
      </c>
      <c r="C309" s="19">
        <v>19200</v>
      </c>
      <c r="D309" s="19" t="s">
        <v>99</v>
      </c>
      <c r="E309" s="19" t="s">
        <v>348</v>
      </c>
      <c r="F309" s="19" t="s">
        <v>11</v>
      </c>
      <c r="G309" s="19" t="s">
        <v>17</v>
      </c>
      <c r="H309" s="19" t="s">
        <v>78</v>
      </c>
      <c r="I309" s="19" t="s">
        <v>78</v>
      </c>
      <c r="J309" s="19" t="s">
        <v>78</v>
      </c>
      <c r="K309" s="19" t="s">
        <v>318</v>
      </c>
      <c r="L309" s="19" t="s">
        <v>78</v>
      </c>
      <c r="M309" s="19" t="s">
        <v>78</v>
      </c>
      <c r="N309" s="19" t="s">
        <v>78</v>
      </c>
      <c r="O309" s="19" t="s">
        <v>78</v>
      </c>
      <c r="P309" s="19" t="s">
        <v>78</v>
      </c>
      <c r="Q309" s="19" t="s">
        <v>78</v>
      </c>
      <c r="R309" s="19" t="s">
        <v>78</v>
      </c>
      <c r="S309" s="20" t="s">
        <v>78</v>
      </c>
    </row>
    <row r="310" spans="1:19" x14ac:dyDescent="0.35">
      <c r="A310" s="81" t="s">
        <v>537</v>
      </c>
      <c r="B310" s="17">
        <v>671640</v>
      </c>
      <c r="C310" s="17">
        <v>10960</v>
      </c>
      <c r="D310" s="17" t="s">
        <v>99</v>
      </c>
      <c r="E310" s="17" t="s">
        <v>415</v>
      </c>
      <c r="F310" s="17" t="s">
        <v>10</v>
      </c>
      <c r="G310" s="17" t="s">
        <v>308</v>
      </c>
      <c r="H310" s="17" t="s">
        <v>78</v>
      </c>
      <c r="I310" s="17" t="s">
        <v>78</v>
      </c>
      <c r="J310" s="17" t="s">
        <v>78</v>
      </c>
      <c r="K310" s="17" t="s">
        <v>133</v>
      </c>
      <c r="L310" s="17" t="s">
        <v>78</v>
      </c>
      <c r="M310" s="17" t="s">
        <v>78</v>
      </c>
      <c r="N310" s="17" t="s">
        <v>78</v>
      </c>
      <c r="O310" s="17"/>
      <c r="P310" s="17" t="s">
        <v>78</v>
      </c>
      <c r="Q310" s="17" t="s">
        <v>78</v>
      </c>
      <c r="R310" s="17" t="s">
        <v>78</v>
      </c>
      <c r="S310" s="18" t="s">
        <v>78</v>
      </c>
    </row>
    <row r="311" spans="1:19" x14ac:dyDescent="0.35">
      <c r="A311" s="82" t="s">
        <v>537</v>
      </c>
      <c r="B311" s="19">
        <v>311960</v>
      </c>
      <c r="C311" s="19">
        <v>15880</v>
      </c>
      <c r="D311" s="19" t="s">
        <v>99</v>
      </c>
      <c r="E311" s="19" t="s">
        <v>562</v>
      </c>
      <c r="F311" s="19" t="s">
        <v>83</v>
      </c>
      <c r="G311" s="19" t="s">
        <v>296</v>
      </c>
      <c r="H311" s="19" t="s">
        <v>78</v>
      </c>
      <c r="I311" s="19" t="s">
        <v>78</v>
      </c>
      <c r="J311" s="19" t="s">
        <v>78</v>
      </c>
      <c r="K311" s="19" t="s">
        <v>345</v>
      </c>
      <c r="L311" s="19" t="s">
        <v>78</v>
      </c>
      <c r="M311" s="19" t="s">
        <v>78</v>
      </c>
      <c r="N311" s="19" t="s">
        <v>78</v>
      </c>
      <c r="O311" s="19"/>
      <c r="P311" s="19" t="s">
        <v>78</v>
      </c>
      <c r="Q311" s="19" t="s">
        <v>78</v>
      </c>
      <c r="R311" s="19" t="s">
        <v>78</v>
      </c>
      <c r="S311" s="20" t="s">
        <v>78</v>
      </c>
    </row>
    <row r="312" spans="1:19" x14ac:dyDescent="0.35">
      <c r="A312" s="82" t="s">
        <v>536</v>
      </c>
      <c r="B312" s="19">
        <v>969840</v>
      </c>
      <c r="C312" s="19">
        <v>14840</v>
      </c>
      <c r="D312" s="19" t="s">
        <v>99</v>
      </c>
      <c r="E312" s="19" t="s">
        <v>344</v>
      </c>
      <c r="F312" s="19" t="s">
        <v>13</v>
      </c>
      <c r="G312" s="19" t="s">
        <v>78</v>
      </c>
      <c r="H312" s="19" t="s">
        <v>78</v>
      </c>
      <c r="I312" s="19" t="s">
        <v>78</v>
      </c>
      <c r="J312" s="19" t="s">
        <v>78</v>
      </c>
      <c r="K312" s="19" t="s">
        <v>417</v>
      </c>
      <c r="L312" s="19" t="s">
        <v>78</v>
      </c>
      <c r="M312" s="19" t="s">
        <v>78</v>
      </c>
      <c r="N312" s="19" t="s">
        <v>78</v>
      </c>
      <c r="O312" s="19"/>
      <c r="P312" s="19" t="s">
        <v>78</v>
      </c>
      <c r="Q312" s="19" t="s">
        <v>78</v>
      </c>
      <c r="R312" s="19" t="s">
        <v>78</v>
      </c>
      <c r="S312" s="20" t="s">
        <v>78</v>
      </c>
    </row>
    <row r="313" spans="1:19" x14ac:dyDescent="0.35">
      <c r="A313" s="82" t="s">
        <v>536</v>
      </c>
      <c r="B313" s="19">
        <v>358080</v>
      </c>
      <c r="C313" s="19">
        <v>7000</v>
      </c>
      <c r="D313" s="19" t="s">
        <v>99</v>
      </c>
      <c r="E313" s="19" t="s">
        <v>78</v>
      </c>
      <c r="F313" s="19" t="s">
        <v>13</v>
      </c>
      <c r="G313" s="19" t="s">
        <v>78</v>
      </c>
      <c r="H313" s="19" t="s">
        <v>78</v>
      </c>
      <c r="I313" s="19" t="s">
        <v>78</v>
      </c>
      <c r="J313" s="19" t="s">
        <v>78</v>
      </c>
      <c r="K313" s="19" t="s">
        <v>345</v>
      </c>
      <c r="L313" s="19" t="s">
        <v>78</v>
      </c>
      <c r="M313" s="19" t="s">
        <v>78</v>
      </c>
      <c r="N313" s="19" t="s">
        <v>78</v>
      </c>
      <c r="O313" s="19"/>
      <c r="P313" s="19" t="s">
        <v>78</v>
      </c>
      <c r="Q313" s="19" t="s">
        <v>78</v>
      </c>
      <c r="R313" s="19" t="s">
        <v>78</v>
      </c>
      <c r="S313" s="20" t="s">
        <v>78</v>
      </c>
    </row>
    <row r="314" spans="1:19" x14ac:dyDescent="0.35">
      <c r="A314" s="81" t="s">
        <v>535</v>
      </c>
      <c r="B314" s="17">
        <v>1010200</v>
      </c>
      <c r="C314" s="17">
        <v>13240</v>
      </c>
      <c r="D314" s="17" t="s">
        <v>99</v>
      </c>
      <c r="E314" s="17" t="s">
        <v>415</v>
      </c>
      <c r="F314" s="17" t="s">
        <v>11</v>
      </c>
      <c r="G314" s="17" t="s">
        <v>282</v>
      </c>
      <c r="H314" s="17" t="s">
        <v>78</v>
      </c>
      <c r="I314" s="17" t="s">
        <v>78</v>
      </c>
      <c r="J314" s="17" t="s">
        <v>78</v>
      </c>
      <c r="K314" s="17" t="s">
        <v>345</v>
      </c>
      <c r="L314" s="17" t="s">
        <v>78</v>
      </c>
      <c r="M314" s="17" t="s">
        <v>78</v>
      </c>
      <c r="N314" s="17" t="s">
        <v>78</v>
      </c>
      <c r="O314" s="17"/>
      <c r="P314" s="17" t="s">
        <v>78</v>
      </c>
      <c r="Q314" s="17" t="s">
        <v>78</v>
      </c>
      <c r="R314" s="17" t="s">
        <v>78</v>
      </c>
      <c r="S314" s="18" t="s">
        <v>78</v>
      </c>
    </row>
    <row r="315" spans="1:19" x14ac:dyDescent="0.35">
      <c r="A315" s="82" t="s">
        <v>535</v>
      </c>
      <c r="B315" s="19">
        <v>368560</v>
      </c>
      <c r="C315" s="19">
        <v>7000</v>
      </c>
      <c r="D315" s="19" t="s">
        <v>99</v>
      </c>
      <c r="E315" s="19" t="s">
        <v>439</v>
      </c>
      <c r="F315" s="19" t="s">
        <v>105</v>
      </c>
      <c r="G315" s="19" t="s">
        <v>78</v>
      </c>
      <c r="H315" s="19" t="s">
        <v>78</v>
      </c>
      <c r="I315" s="19" t="s">
        <v>78</v>
      </c>
      <c r="J315" s="19" t="s">
        <v>78</v>
      </c>
      <c r="K315" s="19" t="s">
        <v>78</v>
      </c>
      <c r="L315" s="19" t="s">
        <v>78</v>
      </c>
      <c r="M315" s="19" t="s">
        <v>78</v>
      </c>
      <c r="N315" s="19" t="s">
        <v>78</v>
      </c>
      <c r="O315" s="19"/>
      <c r="P315" s="19" t="s">
        <v>78</v>
      </c>
      <c r="Q315" s="19" t="s">
        <v>78</v>
      </c>
      <c r="R315" s="19" t="s">
        <v>78</v>
      </c>
      <c r="S315" s="20" t="s">
        <v>78</v>
      </c>
    </row>
    <row r="316" spans="1:19" x14ac:dyDescent="0.35">
      <c r="A316" s="82" t="s">
        <v>534</v>
      </c>
      <c r="B316" s="19">
        <v>1250200</v>
      </c>
      <c r="C316" s="19">
        <v>13640</v>
      </c>
      <c r="D316" s="19" t="s">
        <v>99</v>
      </c>
      <c r="E316" s="19" t="s">
        <v>346</v>
      </c>
      <c r="F316" s="19" t="s">
        <v>79</v>
      </c>
      <c r="G316" s="19" t="s">
        <v>78</v>
      </c>
      <c r="H316" s="19" t="s">
        <v>78</v>
      </c>
      <c r="I316" s="19" t="s">
        <v>78</v>
      </c>
      <c r="J316" s="19" t="s">
        <v>78</v>
      </c>
      <c r="K316" s="19" t="s">
        <v>319</v>
      </c>
      <c r="L316" s="19" t="s">
        <v>78</v>
      </c>
      <c r="M316" s="19" t="s">
        <v>78</v>
      </c>
      <c r="N316" s="19" t="s">
        <v>78</v>
      </c>
      <c r="O316" s="19"/>
      <c r="P316" s="19" t="s">
        <v>78</v>
      </c>
      <c r="Q316" s="19" t="s">
        <v>78</v>
      </c>
      <c r="R316" s="19" t="s">
        <v>17</v>
      </c>
      <c r="S316" s="20" t="s">
        <v>78</v>
      </c>
    </row>
    <row r="317" spans="1:19" x14ac:dyDescent="0.35">
      <c r="A317" s="82" t="s">
        <v>534</v>
      </c>
      <c r="B317" s="19">
        <v>405000</v>
      </c>
      <c r="C317" s="19">
        <v>15680</v>
      </c>
      <c r="D317" s="19" t="s">
        <v>99</v>
      </c>
      <c r="E317" s="19" t="s">
        <v>562</v>
      </c>
      <c r="F317" s="19" t="s">
        <v>11</v>
      </c>
      <c r="G317" s="19" t="s">
        <v>296</v>
      </c>
      <c r="H317" s="19" t="s">
        <v>78</v>
      </c>
      <c r="I317" s="19" t="s">
        <v>78</v>
      </c>
      <c r="J317" s="19" t="s">
        <v>78</v>
      </c>
      <c r="K317" s="19" t="s">
        <v>345</v>
      </c>
      <c r="L317" s="19" t="s">
        <v>78</v>
      </c>
      <c r="M317" s="19" t="s">
        <v>78</v>
      </c>
      <c r="N317" s="19" t="s">
        <v>78</v>
      </c>
      <c r="O317" s="19"/>
      <c r="P317" s="19" t="s">
        <v>78</v>
      </c>
      <c r="Q317" s="19" t="s">
        <v>78</v>
      </c>
      <c r="R317" s="19" t="s">
        <v>78</v>
      </c>
      <c r="S317" s="20" t="s">
        <v>78</v>
      </c>
    </row>
    <row r="318" spans="1:19" x14ac:dyDescent="0.35">
      <c r="A318" s="81" t="s">
        <v>533</v>
      </c>
      <c r="B318" s="17">
        <v>1326720</v>
      </c>
      <c r="C318" s="17">
        <v>19520</v>
      </c>
      <c r="D318" s="17" t="s">
        <v>99</v>
      </c>
      <c r="E318" s="17" t="s">
        <v>421</v>
      </c>
      <c r="F318" s="17" t="s">
        <v>13</v>
      </c>
      <c r="G318" s="17" t="s">
        <v>78</v>
      </c>
      <c r="H318" s="17" t="s">
        <v>78</v>
      </c>
      <c r="I318" s="17" t="s">
        <v>78</v>
      </c>
      <c r="J318" s="17" t="s">
        <v>78</v>
      </c>
      <c r="K318" s="17" t="s">
        <v>319</v>
      </c>
      <c r="L318" s="17" t="s">
        <v>78</v>
      </c>
      <c r="M318" s="17" t="s">
        <v>78</v>
      </c>
      <c r="N318" s="17" t="s">
        <v>78</v>
      </c>
      <c r="O318" s="17"/>
      <c r="P318" s="17" t="s">
        <v>78</v>
      </c>
      <c r="Q318" s="17" t="s">
        <v>78</v>
      </c>
      <c r="R318" s="17" t="s">
        <v>78</v>
      </c>
      <c r="S318" s="18" t="s">
        <v>78</v>
      </c>
    </row>
    <row r="319" spans="1:19" x14ac:dyDescent="0.35">
      <c r="A319" s="82" t="s">
        <v>533</v>
      </c>
      <c r="B319" s="19">
        <v>498880</v>
      </c>
      <c r="C319" s="19">
        <v>7240</v>
      </c>
      <c r="D319" s="19" t="s">
        <v>99</v>
      </c>
      <c r="E319" s="19" t="s">
        <v>439</v>
      </c>
      <c r="F319" s="19" t="s">
        <v>13</v>
      </c>
      <c r="G319" s="19" t="s">
        <v>78</v>
      </c>
      <c r="H319" s="19" t="s">
        <v>78</v>
      </c>
      <c r="I319" s="19" t="s">
        <v>78</v>
      </c>
      <c r="J319" s="19" t="s">
        <v>78</v>
      </c>
      <c r="K319" s="19" t="s">
        <v>318</v>
      </c>
      <c r="L319" s="19" t="s">
        <v>78</v>
      </c>
      <c r="M319" s="19" t="s">
        <v>78</v>
      </c>
      <c r="N319" s="19" t="s">
        <v>78</v>
      </c>
      <c r="O319" s="19"/>
      <c r="P319" s="19" t="s">
        <v>78</v>
      </c>
      <c r="Q319" s="19" t="s">
        <v>78</v>
      </c>
      <c r="R319" s="19" t="s">
        <v>78</v>
      </c>
      <c r="S319" s="20" t="s">
        <v>78</v>
      </c>
    </row>
    <row r="320" spans="1:19" x14ac:dyDescent="0.35">
      <c r="A320" s="82" t="s">
        <v>532</v>
      </c>
      <c r="B320" s="19">
        <v>1345680</v>
      </c>
      <c r="C320" s="19">
        <v>25280</v>
      </c>
      <c r="D320" s="19" t="s">
        <v>99</v>
      </c>
      <c r="E320" s="19" t="s">
        <v>415</v>
      </c>
      <c r="F320" s="19" t="s">
        <v>13</v>
      </c>
      <c r="G320" s="19" t="s">
        <v>78</v>
      </c>
      <c r="H320" s="19" t="s">
        <v>78</v>
      </c>
      <c r="I320" s="19" t="s">
        <v>78</v>
      </c>
      <c r="J320" s="19" t="s">
        <v>78</v>
      </c>
      <c r="K320" s="19" t="s">
        <v>322</v>
      </c>
      <c r="L320" s="19" t="s">
        <v>78</v>
      </c>
      <c r="M320" s="19" t="s">
        <v>78</v>
      </c>
      <c r="N320" s="19" t="s">
        <v>78</v>
      </c>
      <c r="O320" s="19"/>
      <c r="P320" s="19" t="s">
        <v>78</v>
      </c>
      <c r="Q320" s="19" t="s">
        <v>78</v>
      </c>
      <c r="R320" s="19" t="s">
        <v>78</v>
      </c>
      <c r="S320" s="20" t="s">
        <v>78</v>
      </c>
    </row>
    <row r="321" spans="1:19" x14ac:dyDescent="0.35">
      <c r="A321" s="82" t="s">
        <v>532</v>
      </c>
      <c r="B321" s="19">
        <v>542680</v>
      </c>
      <c r="C321" s="19">
        <v>14200</v>
      </c>
      <c r="D321" s="19" t="s">
        <v>99</v>
      </c>
      <c r="E321" s="19" t="s">
        <v>421</v>
      </c>
      <c r="F321" s="19" t="s">
        <v>79</v>
      </c>
      <c r="G321" s="19" t="s">
        <v>78</v>
      </c>
      <c r="H321" s="19" t="s">
        <v>78</v>
      </c>
      <c r="I321" s="19" t="s">
        <v>78</v>
      </c>
      <c r="J321" s="19" t="s">
        <v>78</v>
      </c>
      <c r="K321" s="19" t="s">
        <v>318</v>
      </c>
      <c r="L321" s="19" t="s">
        <v>78</v>
      </c>
      <c r="M321" s="19" t="s">
        <v>78</v>
      </c>
      <c r="N321" s="19" t="s">
        <v>78</v>
      </c>
      <c r="O321" s="19"/>
      <c r="P321" s="19" t="s">
        <v>78</v>
      </c>
      <c r="Q321" s="19" t="s">
        <v>78</v>
      </c>
      <c r="R321" s="19" t="s">
        <v>507</v>
      </c>
      <c r="S321" s="20" t="s">
        <v>78</v>
      </c>
    </row>
    <row r="322" spans="1:19" x14ac:dyDescent="0.35">
      <c r="A322" s="81" t="s">
        <v>531</v>
      </c>
      <c r="B322" s="17">
        <v>1375200</v>
      </c>
      <c r="C322" s="17">
        <v>7000</v>
      </c>
      <c r="D322" s="17" t="s">
        <v>99</v>
      </c>
      <c r="E322" s="17" t="s">
        <v>415</v>
      </c>
      <c r="F322" s="17" t="s">
        <v>10</v>
      </c>
      <c r="G322" s="17" t="s">
        <v>307</v>
      </c>
      <c r="H322" s="17" t="s">
        <v>78</v>
      </c>
      <c r="I322" s="17" t="s">
        <v>78</v>
      </c>
      <c r="J322" s="17" t="s">
        <v>78</v>
      </c>
      <c r="K322" s="17" t="s">
        <v>78</v>
      </c>
      <c r="L322" s="17" t="s">
        <v>78</v>
      </c>
      <c r="M322" s="17" t="s">
        <v>78</v>
      </c>
      <c r="N322" s="17" t="s">
        <v>78</v>
      </c>
      <c r="O322" s="17"/>
      <c r="P322" s="17" t="s">
        <v>78</v>
      </c>
      <c r="Q322" s="17" t="s">
        <v>78</v>
      </c>
      <c r="R322" s="17" t="s">
        <v>78</v>
      </c>
      <c r="S322" s="18" t="s">
        <v>78</v>
      </c>
    </row>
    <row r="323" spans="1:19" x14ac:dyDescent="0.35">
      <c r="A323" s="82" t="s">
        <v>531</v>
      </c>
      <c r="B323" s="19">
        <v>583040</v>
      </c>
      <c r="C323" s="19">
        <v>7000</v>
      </c>
      <c r="D323" s="19" t="s">
        <v>99</v>
      </c>
      <c r="E323" s="19" t="s">
        <v>421</v>
      </c>
      <c r="F323" s="19" t="s">
        <v>10</v>
      </c>
      <c r="G323" s="19" t="s">
        <v>301</v>
      </c>
      <c r="H323" s="19" t="s">
        <v>78</v>
      </c>
      <c r="I323" s="19" t="s">
        <v>78</v>
      </c>
      <c r="J323" s="19" t="s">
        <v>78</v>
      </c>
      <c r="K323" s="19" t="s">
        <v>133</v>
      </c>
      <c r="L323" s="19" t="s">
        <v>78</v>
      </c>
      <c r="M323" s="19" t="s">
        <v>78</v>
      </c>
      <c r="N323" s="19" t="s">
        <v>78</v>
      </c>
      <c r="O323" s="19"/>
      <c r="P323" s="19" t="s">
        <v>78</v>
      </c>
      <c r="Q323" s="19" t="s">
        <v>78</v>
      </c>
      <c r="R323" s="19" t="s">
        <v>78</v>
      </c>
      <c r="S323" s="20" t="s">
        <v>78</v>
      </c>
    </row>
    <row r="324" spans="1:19" x14ac:dyDescent="0.35">
      <c r="A324" s="82" t="s">
        <v>530</v>
      </c>
      <c r="B324" s="19">
        <v>1438840</v>
      </c>
      <c r="C324" s="19">
        <v>15720</v>
      </c>
      <c r="D324" s="19" t="s">
        <v>99</v>
      </c>
      <c r="E324" s="19" t="s">
        <v>348</v>
      </c>
      <c r="F324" s="19" t="s">
        <v>11</v>
      </c>
      <c r="G324" s="19" t="s">
        <v>17</v>
      </c>
      <c r="H324" s="19" t="s">
        <v>78</v>
      </c>
      <c r="I324" s="19" t="s">
        <v>78</v>
      </c>
      <c r="J324" s="19" t="s">
        <v>78</v>
      </c>
      <c r="K324" s="19" t="s">
        <v>322</v>
      </c>
      <c r="L324" s="19" t="s">
        <v>78</v>
      </c>
      <c r="M324" s="19" t="s">
        <v>78</v>
      </c>
      <c r="N324" s="19" t="s">
        <v>78</v>
      </c>
      <c r="O324" s="19"/>
      <c r="P324" s="19" t="s">
        <v>78</v>
      </c>
      <c r="Q324" s="19" t="s">
        <v>78</v>
      </c>
      <c r="R324" s="19" t="s">
        <v>78</v>
      </c>
      <c r="S324" s="20" t="s">
        <v>78</v>
      </c>
    </row>
    <row r="325" spans="1:19" x14ac:dyDescent="0.35">
      <c r="A325" s="82" t="s">
        <v>530</v>
      </c>
      <c r="B325" s="19">
        <v>618080</v>
      </c>
      <c r="C325" s="19">
        <v>19280</v>
      </c>
      <c r="D325" s="19" t="s">
        <v>99</v>
      </c>
      <c r="E325" s="19" t="s">
        <v>421</v>
      </c>
      <c r="F325" s="19" t="s">
        <v>105</v>
      </c>
      <c r="G325" s="19" t="s">
        <v>78</v>
      </c>
      <c r="H325" s="19" t="s">
        <v>78</v>
      </c>
      <c r="I325" s="19" t="s">
        <v>78</v>
      </c>
      <c r="J325" s="19" t="s">
        <v>78</v>
      </c>
      <c r="K325" s="19" t="s">
        <v>319</v>
      </c>
      <c r="L325" s="19" t="s">
        <v>78</v>
      </c>
      <c r="M325" s="19" t="s">
        <v>78</v>
      </c>
      <c r="N325" s="19" t="s">
        <v>78</v>
      </c>
      <c r="O325" s="19"/>
      <c r="P325" s="19" t="s">
        <v>78</v>
      </c>
      <c r="Q325" s="19" t="s">
        <v>78</v>
      </c>
      <c r="R325" s="19" t="s">
        <v>78</v>
      </c>
      <c r="S325" s="20" t="s">
        <v>78</v>
      </c>
    </row>
    <row r="326" spans="1:19" x14ac:dyDescent="0.35">
      <c r="A326" s="81" t="s">
        <v>529</v>
      </c>
      <c r="B326" s="17">
        <v>1534000</v>
      </c>
      <c r="C326" s="17">
        <v>12800</v>
      </c>
      <c r="D326" s="17" t="s">
        <v>99</v>
      </c>
      <c r="E326" s="17" t="s">
        <v>439</v>
      </c>
      <c r="F326" s="17" t="s">
        <v>13</v>
      </c>
      <c r="G326" s="17" t="s">
        <v>78</v>
      </c>
      <c r="H326" s="17" t="s">
        <v>78</v>
      </c>
      <c r="I326" s="17" t="s">
        <v>78</v>
      </c>
      <c r="J326" s="17" t="s">
        <v>78</v>
      </c>
      <c r="K326" s="17" t="s">
        <v>429</v>
      </c>
      <c r="L326" s="17" t="s">
        <v>78</v>
      </c>
      <c r="M326" s="17" t="s">
        <v>78</v>
      </c>
      <c r="N326" s="17" t="s">
        <v>78</v>
      </c>
      <c r="O326" s="17"/>
      <c r="P326" s="17" t="s">
        <v>78</v>
      </c>
      <c r="Q326" s="17" t="s">
        <v>78</v>
      </c>
      <c r="R326" s="17" t="s">
        <v>78</v>
      </c>
      <c r="S326" s="18" t="s">
        <v>78</v>
      </c>
    </row>
    <row r="327" spans="1:19" x14ac:dyDescent="0.35">
      <c r="A327" s="82" t="s">
        <v>529</v>
      </c>
      <c r="B327" s="19">
        <v>707640</v>
      </c>
      <c r="C327" s="19">
        <v>21720</v>
      </c>
      <c r="D327" s="19" t="s">
        <v>99</v>
      </c>
      <c r="E327" s="19" t="s">
        <v>376</v>
      </c>
      <c r="F327" s="19" t="s">
        <v>79</v>
      </c>
      <c r="G327" s="19" t="s">
        <v>78</v>
      </c>
      <c r="H327" s="19" t="s">
        <v>78</v>
      </c>
      <c r="I327" s="19" t="s">
        <v>78</v>
      </c>
      <c r="J327" s="19" t="s">
        <v>78</v>
      </c>
      <c r="K327" s="19" t="s">
        <v>319</v>
      </c>
      <c r="L327" s="19" t="s">
        <v>78</v>
      </c>
      <c r="M327" s="19" t="s">
        <v>78</v>
      </c>
      <c r="N327" s="19" t="s">
        <v>78</v>
      </c>
      <c r="O327" s="19"/>
      <c r="P327" s="19" t="s">
        <v>78</v>
      </c>
      <c r="Q327" s="19" t="s">
        <v>78</v>
      </c>
      <c r="R327" s="19" t="s">
        <v>315</v>
      </c>
      <c r="S327" s="20" t="s">
        <v>78</v>
      </c>
    </row>
    <row r="328" spans="1:19" x14ac:dyDescent="0.35">
      <c r="A328" s="82" t="s">
        <v>528</v>
      </c>
      <c r="B328" s="19">
        <v>1546040</v>
      </c>
      <c r="C328" s="19">
        <v>15120</v>
      </c>
      <c r="D328" s="19" t="s">
        <v>99</v>
      </c>
      <c r="E328" s="19" t="s">
        <v>346</v>
      </c>
      <c r="F328" s="19" t="s">
        <v>79</v>
      </c>
      <c r="G328" s="19" t="s">
        <v>78</v>
      </c>
      <c r="H328" s="19" t="s">
        <v>78</v>
      </c>
      <c r="I328" s="19" t="s">
        <v>78</v>
      </c>
      <c r="J328" s="19" t="s">
        <v>78</v>
      </c>
      <c r="K328" s="19" t="s">
        <v>448</v>
      </c>
      <c r="L328" s="19" t="s">
        <v>78</v>
      </c>
      <c r="M328" s="19" t="s">
        <v>78</v>
      </c>
      <c r="N328" s="19" t="s">
        <v>78</v>
      </c>
      <c r="O328" s="19"/>
      <c r="P328" s="19" t="s">
        <v>78</v>
      </c>
      <c r="Q328" s="19" t="s">
        <v>78</v>
      </c>
      <c r="R328" s="19" t="s">
        <v>259</v>
      </c>
      <c r="S328" s="20" t="s">
        <v>78</v>
      </c>
    </row>
    <row r="329" spans="1:19" x14ac:dyDescent="0.35">
      <c r="A329" s="82" t="s">
        <v>528</v>
      </c>
      <c r="B329" s="19">
        <v>835280</v>
      </c>
      <c r="C329" s="19">
        <v>18440</v>
      </c>
      <c r="D329" s="19" t="s">
        <v>99</v>
      </c>
      <c r="E329" s="19" t="s">
        <v>78</v>
      </c>
      <c r="F329" s="19" t="s">
        <v>13</v>
      </c>
      <c r="G329" s="19" t="s">
        <v>78</v>
      </c>
      <c r="H329" s="19" t="s">
        <v>78</v>
      </c>
      <c r="I329" s="19" t="s">
        <v>78</v>
      </c>
      <c r="J329" s="19" t="s">
        <v>78</v>
      </c>
      <c r="K329" s="19" t="s">
        <v>417</v>
      </c>
      <c r="L329" s="19" t="s">
        <v>78</v>
      </c>
      <c r="M329" s="19" t="s">
        <v>78</v>
      </c>
      <c r="N329" s="19" t="s">
        <v>78</v>
      </c>
      <c r="O329" s="19"/>
      <c r="P329" s="19" t="s">
        <v>78</v>
      </c>
      <c r="Q329" s="19" t="s">
        <v>78</v>
      </c>
      <c r="R329" s="19" t="s">
        <v>78</v>
      </c>
      <c r="S329" s="20" t="s">
        <v>78</v>
      </c>
    </row>
    <row r="330" spans="1:19" x14ac:dyDescent="0.35">
      <c r="A330" s="81" t="s">
        <v>115</v>
      </c>
      <c r="B330" s="17">
        <v>593560</v>
      </c>
      <c r="C330" s="17">
        <v>7000</v>
      </c>
      <c r="D330" s="17" t="s">
        <v>99</v>
      </c>
      <c r="E330" s="17" t="s">
        <v>344</v>
      </c>
      <c r="F330" s="17" t="s">
        <v>83</v>
      </c>
      <c r="G330" s="17" t="s">
        <v>297</v>
      </c>
      <c r="H330" s="17" t="s">
        <v>78</v>
      </c>
      <c r="I330" s="17" t="s">
        <v>78</v>
      </c>
      <c r="J330" s="17" t="s">
        <v>78</v>
      </c>
      <c r="K330" s="17" t="s">
        <v>345</v>
      </c>
      <c r="L330" s="17" t="s">
        <v>78</v>
      </c>
      <c r="M330" s="17" t="s">
        <v>78</v>
      </c>
      <c r="N330" s="17" t="s">
        <v>78</v>
      </c>
      <c r="O330" s="17"/>
      <c r="P330" s="17" t="s">
        <v>78</v>
      </c>
      <c r="Q330" s="17" t="s">
        <v>78</v>
      </c>
      <c r="R330" s="17" t="s">
        <v>78</v>
      </c>
      <c r="S330" s="18" t="s">
        <v>78</v>
      </c>
    </row>
    <row r="331" spans="1:19" x14ac:dyDescent="0.35">
      <c r="A331" s="81" t="s">
        <v>115</v>
      </c>
      <c r="B331" s="17">
        <v>185840</v>
      </c>
      <c r="C331" s="17">
        <v>16320</v>
      </c>
      <c r="D331" s="17" t="s">
        <v>99</v>
      </c>
      <c r="E331" s="17" t="s">
        <v>344</v>
      </c>
      <c r="F331" s="17" t="s">
        <v>13</v>
      </c>
      <c r="G331" s="17" t="s">
        <v>78</v>
      </c>
      <c r="H331" s="17" t="s">
        <v>78</v>
      </c>
      <c r="I331" s="17" t="s">
        <v>78</v>
      </c>
      <c r="J331" s="17" t="s">
        <v>78</v>
      </c>
      <c r="K331" s="17" t="s">
        <v>322</v>
      </c>
      <c r="L331" s="17" t="s">
        <v>78</v>
      </c>
      <c r="M331" s="17" t="s">
        <v>78</v>
      </c>
      <c r="N331" s="17" t="s">
        <v>78</v>
      </c>
      <c r="O331" s="17"/>
      <c r="P331" s="17" t="s">
        <v>78</v>
      </c>
      <c r="Q331" s="17" t="s">
        <v>78</v>
      </c>
      <c r="R331" s="17" t="s">
        <v>78</v>
      </c>
      <c r="S331" s="18" t="s">
        <v>78</v>
      </c>
    </row>
    <row r="332" spans="1:19" x14ac:dyDescent="0.35">
      <c r="A332" s="81" t="s">
        <v>115</v>
      </c>
      <c r="B332" s="17">
        <v>1087720</v>
      </c>
      <c r="C332" s="17">
        <v>24440</v>
      </c>
      <c r="D332" s="17" t="s">
        <v>99</v>
      </c>
      <c r="E332" s="17" t="s">
        <v>421</v>
      </c>
      <c r="F332" s="17" t="s">
        <v>79</v>
      </c>
      <c r="G332" s="17" t="s">
        <v>78</v>
      </c>
      <c r="H332" s="17" t="s">
        <v>78</v>
      </c>
      <c r="I332" s="17" t="s">
        <v>78</v>
      </c>
      <c r="J332" s="17" t="s">
        <v>78</v>
      </c>
      <c r="K332" s="17" t="s">
        <v>322</v>
      </c>
      <c r="L332" s="17" t="s">
        <v>78</v>
      </c>
      <c r="M332" s="17" t="s">
        <v>78</v>
      </c>
      <c r="N332" s="17" t="s">
        <v>78</v>
      </c>
      <c r="O332" s="17"/>
      <c r="P332" s="17" t="s">
        <v>78</v>
      </c>
      <c r="Q332" s="17" t="s">
        <v>78</v>
      </c>
      <c r="R332" s="17" t="s">
        <v>259</v>
      </c>
      <c r="S332" s="18" t="s">
        <v>78</v>
      </c>
    </row>
    <row r="333" spans="1:19" x14ac:dyDescent="0.35">
      <c r="A333" s="82" t="s">
        <v>115</v>
      </c>
      <c r="B333" s="19">
        <v>218600</v>
      </c>
      <c r="C333" s="19">
        <v>14480</v>
      </c>
      <c r="D333" s="19" t="s">
        <v>99</v>
      </c>
      <c r="E333" s="19" t="s">
        <v>376</v>
      </c>
      <c r="F333" s="19" t="s">
        <v>13</v>
      </c>
      <c r="G333" s="19" t="s">
        <v>78</v>
      </c>
      <c r="H333" s="19" t="s">
        <v>78</v>
      </c>
      <c r="I333" s="19" t="s">
        <v>78</v>
      </c>
      <c r="J333" s="19" t="s">
        <v>78</v>
      </c>
      <c r="K333" s="19" t="s">
        <v>322</v>
      </c>
      <c r="L333" s="19" t="s">
        <v>78</v>
      </c>
      <c r="M333" s="19" t="s">
        <v>78</v>
      </c>
      <c r="N333" s="19" t="s">
        <v>78</v>
      </c>
      <c r="O333" s="19"/>
      <c r="P333" s="19" t="s">
        <v>78</v>
      </c>
      <c r="Q333" s="19" t="s">
        <v>78</v>
      </c>
      <c r="R333" s="19" t="s">
        <v>78</v>
      </c>
      <c r="S333" s="20" t="s">
        <v>78</v>
      </c>
    </row>
    <row r="334" spans="1:19" x14ac:dyDescent="0.35">
      <c r="A334" s="82" t="s">
        <v>115</v>
      </c>
      <c r="B334" s="19">
        <v>486280</v>
      </c>
      <c r="C334" s="19">
        <v>18240</v>
      </c>
      <c r="D334" s="19" t="s">
        <v>99</v>
      </c>
      <c r="E334" s="19" t="s">
        <v>562</v>
      </c>
      <c r="F334" s="19" t="s">
        <v>13</v>
      </c>
      <c r="G334" s="19" t="s">
        <v>78</v>
      </c>
      <c r="H334" s="19" t="s">
        <v>78</v>
      </c>
      <c r="I334" s="19" t="s">
        <v>78</v>
      </c>
      <c r="J334" s="19" t="s">
        <v>78</v>
      </c>
      <c r="K334" s="19" t="s">
        <v>318</v>
      </c>
      <c r="L334" s="19" t="s">
        <v>78</v>
      </c>
      <c r="M334" s="19" t="s">
        <v>78</v>
      </c>
      <c r="N334" s="19" t="s">
        <v>78</v>
      </c>
      <c r="O334" s="19" t="s">
        <v>78</v>
      </c>
      <c r="P334" s="19" t="s">
        <v>78</v>
      </c>
      <c r="Q334" s="19" t="s">
        <v>78</v>
      </c>
      <c r="R334" s="19" t="s">
        <v>78</v>
      </c>
      <c r="S334" s="20" t="s">
        <v>78</v>
      </c>
    </row>
    <row r="335" spans="1:19" x14ac:dyDescent="0.35">
      <c r="A335" s="81" t="s">
        <v>527</v>
      </c>
      <c r="B335" s="17">
        <v>1762560</v>
      </c>
      <c r="C335" s="17">
        <v>11520</v>
      </c>
      <c r="D335" s="17" t="s">
        <v>99</v>
      </c>
      <c r="E335" s="17" t="s">
        <v>78</v>
      </c>
      <c r="F335" s="17" t="s">
        <v>13</v>
      </c>
      <c r="G335" s="17" t="s">
        <v>78</v>
      </c>
      <c r="H335" s="17" t="s">
        <v>78</v>
      </c>
      <c r="I335" s="17" t="s">
        <v>78</v>
      </c>
      <c r="J335" s="17" t="s">
        <v>78</v>
      </c>
      <c r="K335" s="17" t="s">
        <v>319</v>
      </c>
      <c r="L335" s="17" t="s">
        <v>78</v>
      </c>
      <c r="M335" s="17" t="s">
        <v>78</v>
      </c>
      <c r="N335" s="17" t="s">
        <v>78</v>
      </c>
      <c r="O335" s="17"/>
      <c r="P335" s="17" t="s">
        <v>78</v>
      </c>
      <c r="Q335" s="17" t="s">
        <v>78</v>
      </c>
      <c r="R335" s="17" t="s">
        <v>78</v>
      </c>
      <c r="S335" s="18" t="s">
        <v>78</v>
      </c>
    </row>
    <row r="336" spans="1:19" x14ac:dyDescent="0.35">
      <c r="A336" s="82" t="s">
        <v>527</v>
      </c>
      <c r="B336" s="19">
        <v>853440</v>
      </c>
      <c r="C336" s="19">
        <v>16040</v>
      </c>
      <c r="D336" s="19" t="s">
        <v>99</v>
      </c>
      <c r="E336" s="19" t="s">
        <v>420</v>
      </c>
      <c r="F336" s="19" t="s">
        <v>83</v>
      </c>
      <c r="G336" s="19" t="s">
        <v>296</v>
      </c>
      <c r="H336" s="19" t="s">
        <v>78</v>
      </c>
      <c r="I336" s="19" t="s">
        <v>78</v>
      </c>
      <c r="J336" s="19" t="s">
        <v>78</v>
      </c>
      <c r="K336" s="19" t="s">
        <v>345</v>
      </c>
      <c r="L336" s="19" t="s">
        <v>78</v>
      </c>
      <c r="M336" s="19" t="s">
        <v>78</v>
      </c>
      <c r="N336" s="19" t="s">
        <v>78</v>
      </c>
      <c r="O336" s="19"/>
      <c r="P336" s="19" t="s">
        <v>78</v>
      </c>
      <c r="Q336" s="19" t="s">
        <v>78</v>
      </c>
      <c r="R336" s="19" t="s">
        <v>78</v>
      </c>
      <c r="S336" s="20" t="s">
        <v>78</v>
      </c>
    </row>
    <row r="337" spans="1:19" x14ac:dyDescent="0.35">
      <c r="A337" s="82" t="s">
        <v>526</v>
      </c>
      <c r="B337" s="19">
        <v>1776600</v>
      </c>
      <c r="C337" s="19">
        <v>10640</v>
      </c>
      <c r="D337" s="19" t="s">
        <v>99</v>
      </c>
      <c r="E337" s="19" t="s">
        <v>415</v>
      </c>
      <c r="F337" s="19" t="s">
        <v>13</v>
      </c>
      <c r="G337" s="19" t="s">
        <v>78</v>
      </c>
      <c r="H337" s="19" t="s">
        <v>78</v>
      </c>
      <c r="I337" s="19" t="s">
        <v>78</v>
      </c>
      <c r="J337" s="19" t="s">
        <v>78</v>
      </c>
      <c r="K337" s="19" t="s">
        <v>345</v>
      </c>
      <c r="L337" s="19" t="s">
        <v>78</v>
      </c>
      <c r="M337" s="19" t="s">
        <v>78</v>
      </c>
      <c r="N337" s="19" t="s">
        <v>78</v>
      </c>
      <c r="O337" s="19"/>
      <c r="P337" s="19" t="s">
        <v>78</v>
      </c>
      <c r="Q337" s="19" t="s">
        <v>78</v>
      </c>
      <c r="R337" s="19" t="s">
        <v>78</v>
      </c>
      <c r="S337" s="20" t="s">
        <v>78</v>
      </c>
    </row>
    <row r="338" spans="1:19" x14ac:dyDescent="0.35">
      <c r="A338" s="82" t="s">
        <v>526</v>
      </c>
      <c r="B338" s="19">
        <v>904680</v>
      </c>
      <c r="C338" s="19">
        <v>11080</v>
      </c>
      <c r="D338" s="19" t="s">
        <v>99</v>
      </c>
      <c r="E338" s="19" t="s">
        <v>376</v>
      </c>
      <c r="F338" s="19" t="s">
        <v>79</v>
      </c>
      <c r="G338" s="19" t="s">
        <v>78</v>
      </c>
      <c r="H338" s="19" t="s">
        <v>78</v>
      </c>
      <c r="I338" s="19" t="s">
        <v>78</v>
      </c>
      <c r="J338" s="19" t="s">
        <v>78</v>
      </c>
      <c r="K338" s="19" t="s">
        <v>133</v>
      </c>
      <c r="L338" s="19" t="s">
        <v>78</v>
      </c>
      <c r="M338" s="19" t="s">
        <v>78</v>
      </c>
      <c r="N338" s="19" t="s">
        <v>78</v>
      </c>
      <c r="O338" s="19"/>
      <c r="P338" s="19" t="s">
        <v>78</v>
      </c>
      <c r="Q338" s="19" t="s">
        <v>78</v>
      </c>
      <c r="R338" s="19" t="s">
        <v>151</v>
      </c>
      <c r="S338" s="20" t="s">
        <v>78</v>
      </c>
    </row>
    <row r="339" spans="1:19" x14ac:dyDescent="0.35">
      <c r="A339" s="81" t="s">
        <v>525</v>
      </c>
      <c r="B339" s="17">
        <v>1789360</v>
      </c>
      <c r="C339" s="17">
        <v>-1419227</v>
      </c>
      <c r="D339" s="17" t="s">
        <v>99</v>
      </c>
      <c r="E339" s="17" t="s">
        <v>346</v>
      </c>
      <c r="F339" s="17" t="s">
        <v>79</v>
      </c>
      <c r="G339" s="17" t="s">
        <v>78</v>
      </c>
      <c r="H339" s="17" t="s">
        <v>78</v>
      </c>
      <c r="I339" s="17" t="s">
        <v>78</v>
      </c>
      <c r="J339" s="17" t="s">
        <v>78</v>
      </c>
      <c r="K339" s="17" t="s">
        <v>345</v>
      </c>
      <c r="L339" s="17" t="s">
        <v>78</v>
      </c>
      <c r="M339" s="17" t="s">
        <v>78</v>
      </c>
      <c r="N339" s="17" t="s">
        <v>78</v>
      </c>
      <c r="O339" s="17"/>
      <c r="P339" s="17" t="s">
        <v>78</v>
      </c>
      <c r="Q339" s="17" t="s">
        <v>78</v>
      </c>
      <c r="R339" s="17" t="s">
        <v>209</v>
      </c>
      <c r="S339" s="18" t="s">
        <v>78</v>
      </c>
    </row>
    <row r="340" spans="1:19" x14ac:dyDescent="0.35">
      <c r="A340" s="82" t="s">
        <v>525</v>
      </c>
      <c r="B340" s="19">
        <v>1021840</v>
      </c>
      <c r="C340" s="19">
        <v>13120</v>
      </c>
      <c r="D340" s="19" t="s">
        <v>99</v>
      </c>
      <c r="E340" s="19" t="s">
        <v>415</v>
      </c>
      <c r="F340" s="19" t="s">
        <v>83</v>
      </c>
      <c r="G340" s="19" t="s">
        <v>308</v>
      </c>
      <c r="H340" s="19" t="s">
        <v>78</v>
      </c>
      <c r="I340" s="19" t="s">
        <v>78</v>
      </c>
      <c r="J340" s="19" t="s">
        <v>78</v>
      </c>
      <c r="K340" s="19" t="s">
        <v>345</v>
      </c>
      <c r="L340" s="19" t="s">
        <v>78</v>
      </c>
      <c r="M340" s="19" t="s">
        <v>78</v>
      </c>
      <c r="N340" s="19" t="s">
        <v>78</v>
      </c>
      <c r="O340" s="19"/>
      <c r="P340" s="19" t="s">
        <v>78</v>
      </c>
      <c r="Q340" s="19" t="s">
        <v>78</v>
      </c>
      <c r="R340" s="19" t="s">
        <v>78</v>
      </c>
      <c r="S340" s="20" t="s">
        <v>78</v>
      </c>
    </row>
    <row r="341" spans="1:19" x14ac:dyDescent="0.35">
      <c r="A341" s="82" t="s">
        <v>524</v>
      </c>
      <c r="B341" s="19">
        <v>24560</v>
      </c>
      <c r="C341" s="19">
        <v>15520</v>
      </c>
      <c r="D341" s="19" t="s">
        <v>99</v>
      </c>
      <c r="E341" s="19" t="s">
        <v>422</v>
      </c>
      <c r="F341" s="19" t="s">
        <v>10</v>
      </c>
      <c r="G341" s="19" t="s">
        <v>15</v>
      </c>
      <c r="H341" s="19" t="s">
        <v>78</v>
      </c>
      <c r="I341" s="19" t="s">
        <v>78</v>
      </c>
      <c r="J341" s="19" t="s">
        <v>78</v>
      </c>
      <c r="K341" s="19" t="s">
        <v>133</v>
      </c>
      <c r="L341" s="19" t="s">
        <v>78</v>
      </c>
      <c r="M341" s="19" t="s">
        <v>78</v>
      </c>
      <c r="N341" s="19" t="s">
        <v>78</v>
      </c>
      <c r="O341" s="19"/>
      <c r="P341" s="19" t="s">
        <v>78</v>
      </c>
      <c r="Q341" s="19" t="s">
        <v>78</v>
      </c>
      <c r="R341" s="19" t="s">
        <v>78</v>
      </c>
      <c r="S341" s="20" t="s">
        <v>78</v>
      </c>
    </row>
    <row r="342" spans="1:19" x14ac:dyDescent="0.35">
      <c r="A342" s="82" t="s">
        <v>524</v>
      </c>
      <c r="B342" s="19">
        <v>1154840</v>
      </c>
      <c r="C342" s="19">
        <v>14800</v>
      </c>
      <c r="D342" s="19" t="s">
        <v>99</v>
      </c>
      <c r="E342" s="19" t="s">
        <v>376</v>
      </c>
      <c r="F342" s="19" t="s">
        <v>11</v>
      </c>
      <c r="G342" s="19" t="s">
        <v>304</v>
      </c>
      <c r="H342" s="19" t="s">
        <v>78</v>
      </c>
      <c r="I342" s="19" t="s">
        <v>78</v>
      </c>
      <c r="J342" s="19" t="s">
        <v>78</v>
      </c>
      <c r="K342" s="19" t="s">
        <v>322</v>
      </c>
      <c r="L342" s="19" t="s">
        <v>78</v>
      </c>
      <c r="M342" s="19" t="s">
        <v>78</v>
      </c>
      <c r="N342" s="19" t="s">
        <v>78</v>
      </c>
      <c r="O342" s="19"/>
      <c r="P342" s="19" t="s">
        <v>78</v>
      </c>
      <c r="Q342" s="19" t="s">
        <v>78</v>
      </c>
      <c r="R342" s="19" t="s">
        <v>78</v>
      </c>
      <c r="S342" s="20" t="s">
        <v>78</v>
      </c>
    </row>
    <row r="343" spans="1:19" x14ac:dyDescent="0.35">
      <c r="A343" s="81" t="s">
        <v>523</v>
      </c>
      <c r="B343" s="17">
        <v>107040</v>
      </c>
      <c r="C343" s="17">
        <v>19440</v>
      </c>
      <c r="D343" s="17" t="s">
        <v>99</v>
      </c>
      <c r="E343" s="17" t="s">
        <v>422</v>
      </c>
      <c r="F343" s="17" t="s">
        <v>105</v>
      </c>
      <c r="G343" s="17" t="s">
        <v>78</v>
      </c>
      <c r="H343" s="17" t="s">
        <v>78</v>
      </c>
      <c r="I343" s="17" t="s">
        <v>78</v>
      </c>
      <c r="J343" s="17" t="s">
        <v>78</v>
      </c>
      <c r="K343" s="17" t="s">
        <v>133</v>
      </c>
      <c r="L343" s="17" t="s">
        <v>78</v>
      </c>
      <c r="M343" s="17" t="s">
        <v>78</v>
      </c>
      <c r="N343" s="17" t="s">
        <v>78</v>
      </c>
      <c r="O343" s="17"/>
      <c r="P343" s="17" t="s">
        <v>78</v>
      </c>
      <c r="Q343" s="17" t="s">
        <v>78</v>
      </c>
      <c r="R343" s="17" t="s">
        <v>78</v>
      </c>
      <c r="S343" s="18" t="s">
        <v>78</v>
      </c>
    </row>
    <row r="344" spans="1:19" x14ac:dyDescent="0.35">
      <c r="A344" s="82" t="s">
        <v>523</v>
      </c>
      <c r="B344" s="19">
        <v>1355120</v>
      </c>
      <c r="C344" s="19">
        <v>18000</v>
      </c>
      <c r="D344" s="19" t="s">
        <v>99</v>
      </c>
      <c r="E344" s="19" t="s">
        <v>348</v>
      </c>
      <c r="F344" s="19" t="s">
        <v>11</v>
      </c>
      <c r="G344" s="19" t="s">
        <v>17</v>
      </c>
      <c r="H344" s="19" t="s">
        <v>78</v>
      </c>
      <c r="I344" s="19" t="s">
        <v>78</v>
      </c>
      <c r="J344" s="19" t="s">
        <v>78</v>
      </c>
      <c r="K344" s="19" t="s">
        <v>345</v>
      </c>
      <c r="L344" s="19" t="s">
        <v>78</v>
      </c>
      <c r="M344" s="19" t="s">
        <v>78</v>
      </c>
      <c r="N344" s="19" t="s">
        <v>78</v>
      </c>
      <c r="O344" s="19"/>
      <c r="P344" s="19" t="s">
        <v>78</v>
      </c>
      <c r="Q344" s="19" t="s">
        <v>78</v>
      </c>
      <c r="R344" s="19" t="s">
        <v>78</v>
      </c>
      <c r="S344" s="20" t="s">
        <v>78</v>
      </c>
    </row>
    <row r="345" spans="1:19" x14ac:dyDescent="0.35">
      <c r="A345" s="82" t="s">
        <v>592</v>
      </c>
      <c r="B345" s="19">
        <v>1421160</v>
      </c>
      <c r="C345" s="19">
        <v>21560</v>
      </c>
      <c r="D345" s="19" t="s">
        <v>99</v>
      </c>
      <c r="E345" s="19" t="s">
        <v>422</v>
      </c>
      <c r="F345" s="19" t="s">
        <v>83</v>
      </c>
      <c r="G345" s="19" t="s">
        <v>15</v>
      </c>
      <c r="H345" s="19" t="s">
        <v>78</v>
      </c>
      <c r="I345" s="19" t="s">
        <v>78</v>
      </c>
      <c r="J345" s="19" t="s">
        <v>78</v>
      </c>
      <c r="K345" s="19" t="s">
        <v>417</v>
      </c>
      <c r="L345" s="19" t="s">
        <v>78</v>
      </c>
      <c r="M345" s="19" t="s">
        <v>78</v>
      </c>
      <c r="N345" s="19" t="s">
        <v>78</v>
      </c>
      <c r="O345" s="19"/>
      <c r="P345" s="19" t="s">
        <v>78</v>
      </c>
      <c r="Q345" s="19" t="s">
        <v>78</v>
      </c>
      <c r="R345" s="19" t="s">
        <v>78</v>
      </c>
      <c r="S345" s="20" t="s">
        <v>78</v>
      </c>
    </row>
    <row r="346" spans="1:19" x14ac:dyDescent="0.35">
      <c r="A346" s="82" t="s">
        <v>593</v>
      </c>
      <c r="B346" s="19">
        <v>1471200</v>
      </c>
      <c r="C346" s="19">
        <v>10160</v>
      </c>
      <c r="D346" s="19" t="s">
        <v>99</v>
      </c>
      <c r="E346" s="19" t="s">
        <v>346</v>
      </c>
      <c r="F346" s="19" t="s">
        <v>10</v>
      </c>
      <c r="G346" s="19" t="s">
        <v>301</v>
      </c>
      <c r="H346" s="19" t="s">
        <v>78</v>
      </c>
      <c r="I346" s="19" t="s">
        <v>78</v>
      </c>
      <c r="J346" s="19" t="s">
        <v>78</v>
      </c>
      <c r="K346" s="19" t="s">
        <v>345</v>
      </c>
      <c r="L346" s="19" t="s">
        <v>78</v>
      </c>
      <c r="M346" s="19" t="s">
        <v>78</v>
      </c>
      <c r="N346" s="19" t="s">
        <v>78</v>
      </c>
      <c r="O346" s="19"/>
      <c r="P346" s="19" t="s">
        <v>78</v>
      </c>
      <c r="Q346" s="19" t="s">
        <v>78</v>
      </c>
      <c r="R346" s="19" t="s">
        <v>78</v>
      </c>
      <c r="S346" s="20" t="s">
        <v>78</v>
      </c>
    </row>
    <row r="347" spans="1:19" x14ac:dyDescent="0.35">
      <c r="A347" s="82" t="s">
        <v>594</v>
      </c>
      <c r="B347" s="19">
        <v>1511640</v>
      </c>
      <c r="C347" s="19">
        <v>13880</v>
      </c>
      <c r="D347" s="19" t="s">
        <v>99</v>
      </c>
      <c r="E347" s="19" t="s">
        <v>346</v>
      </c>
      <c r="F347" s="19" t="s">
        <v>10</v>
      </c>
      <c r="G347" s="19" t="s">
        <v>283</v>
      </c>
      <c r="H347" s="19" t="s">
        <v>78</v>
      </c>
      <c r="I347" s="19" t="s">
        <v>78</v>
      </c>
      <c r="J347" s="19" t="s">
        <v>78</v>
      </c>
      <c r="K347" s="19" t="s">
        <v>133</v>
      </c>
      <c r="L347" s="19" t="s">
        <v>78</v>
      </c>
      <c r="M347" s="19" t="s">
        <v>78</v>
      </c>
      <c r="N347" s="19" t="s">
        <v>78</v>
      </c>
      <c r="O347" s="19"/>
      <c r="P347" s="19" t="s">
        <v>78</v>
      </c>
      <c r="Q347" s="19" t="s">
        <v>78</v>
      </c>
      <c r="R347" s="19" t="s">
        <v>78</v>
      </c>
      <c r="S347" s="20" t="s">
        <v>78</v>
      </c>
    </row>
    <row r="348" spans="1:19" x14ac:dyDescent="0.35">
      <c r="A348" s="82" t="s">
        <v>595</v>
      </c>
      <c r="B348" s="19">
        <v>1572320</v>
      </c>
      <c r="C348" s="19">
        <v>19920</v>
      </c>
      <c r="D348" s="19" t="s">
        <v>99</v>
      </c>
      <c r="E348" s="19" t="s">
        <v>348</v>
      </c>
      <c r="F348" s="19" t="s">
        <v>83</v>
      </c>
      <c r="G348" s="19" t="s">
        <v>17</v>
      </c>
      <c r="H348" s="19" t="s">
        <v>78</v>
      </c>
      <c r="I348" s="19" t="s">
        <v>78</v>
      </c>
      <c r="J348" s="19" t="s">
        <v>78</v>
      </c>
      <c r="K348" s="19" t="s">
        <v>133</v>
      </c>
      <c r="L348" s="19" t="s">
        <v>78</v>
      </c>
      <c r="M348" s="19" t="s">
        <v>78</v>
      </c>
      <c r="N348" s="19" t="s">
        <v>78</v>
      </c>
      <c r="O348" s="19"/>
      <c r="P348" s="19" t="s">
        <v>78</v>
      </c>
      <c r="Q348" s="19" t="s">
        <v>78</v>
      </c>
      <c r="R348" s="19" t="s">
        <v>78</v>
      </c>
      <c r="S348" s="20" t="s">
        <v>78</v>
      </c>
    </row>
    <row r="349" spans="1:19" x14ac:dyDescent="0.35">
      <c r="A349" s="82" t="s">
        <v>596</v>
      </c>
      <c r="B349" s="19">
        <v>1977280</v>
      </c>
      <c r="C349" s="19">
        <v>16800</v>
      </c>
      <c r="D349" s="19" t="s">
        <v>99</v>
      </c>
      <c r="E349" s="19" t="s">
        <v>348</v>
      </c>
      <c r="F349" s="19" t="s">
        <v>10</v>
      </c>
      <c r="G349" s="19" t="s">
        <v>17</v>
      </c>
      <c r="H349" s="19" t="s">
        <v>78</v>
      </c>
      <c r="I349" s="19" t="s">
        <v>78</v>
      </c>
      <c r="J349" s="19" t="s">
        <v>78</v>
      </c>
      <c r="K349" s="19" t="s">
        <v>319</v>
      </c>
      <c r="L349" s="19" t="s">
        <v>78</v>
      </c>
      <c r="M349" s="19" t="s">
        <v>78</v>
      </c>
      <c r="N349" s="19" t="s">
        <v>78</v>
      </c>
      <c r="O349" s="19"/>
      <c r="P349" s="19" t="s">
        <v>78</v>
      </c>
      <c r="Q349" s="19" t="s">
        <v>78</v>
      </c>
      <c r="R349" s="19" t="s">
        <v>78</v>
      </c>
      <c r="S349" s="20" t="s">
        <v>78</v>
      </c>
    </row>
    <row r="350" spans="1:19" x14ac:dyDescent="0.35">
      <c r="A350" s="82" t="s">
        <v>116</v>
      </c>
      <c r="B350" s="19">
        <v>708080</v>
      </c>
      <c r="C350" s="19">
        <v>12880</v>
      </c>
      <c r="D350" s="19" t="s">
        <v>99</v>
      </c>
      <c r="E350" s="19" t="s">
        <v>439</v>
      </c>
      <c r="F350" s="19" t="s">
        <v>79</v>
      </c>
      <c r="G350" s="19" t="s">
        <v>78</v>
      </c>
      <c r="H350" s="19" t="s">
        <v>78</v>
      </c>
      <c r="I350" s="19" t="s">
        <v>78</v>
      </c>
      <c r="J350" s="19" t="s">
        <v>78</v>
      </c>
      <c r="K350" s="19" t="s">
        <v>345</v>
      </c>
      <c r="L350" s="19" t="s">
        <v>78</v>
      </c>
      <c r="M350" s="19" t="s">
        <v>78</v>
      </c>
      <c r="N350" s="19" t="s">
        <v>78</v>
      </c>
      <c r="O350" s="19"/>
      <c r="P350" s="19" t="s">
        <v>78</v>
      </c>
      <c r="Q350" s="19" t="s">
        <v>78</v>
      </c>
      <c r="R350" s="19" t="s">
        <v>313</v>
      </c>
      <c r="S350" s="20" t="s">
        <v>78</v>
      </c>
    </row>
    <row r="351" spans="1:19" x14ac:dyDescent="0.35">
      <c r="A351" s="81" t="s">
        <v>116</v>
      </c>
      <c r="B351" s="17">
        <v>200640</v>
      </c>
      <c r="C351" s="17">
        <v>10760</v>
      </c>
      <c r="D351" s="17" t="s">
        <v>99</v>
      </c>
      <c r="E351" s="17" t="s">
        <v>344</v>
      </c>
      <c r="F351" s="17" t="s">
        <v>83</v>
      </c>
      <c r="G351" s="17" t="s">
        <v>303</v>
      </c>
      <c r="H351" s="17" t="s">
        <v>78</v>
      </c>
      <c r="I351" s="17" t="s">
        <v>78</v>
      </c>
      <c r="J351" s="17" t="s">
        <v>78</v>
      </c>
      <c r="K351" s="17" t="s">
        <v>322</v>
      </c>
      <c r="L351" s="17" t="s">
        <v>78</v>
      </c>
      <c r="M351" s="17" t="s">
        <v>78</v>
      </c>
      <c r="N351" s="17" t="s">
        <v>78</v>
      </c>
      <c r="O351" s="17"/>
      <c r="P351" s="17" t="s">
        <v>78</v>
      </c>
      <c r="Q351" s="17" t="s">
        <v>78</v>
      </c>
      <c r="R351" s="17" t="s">
        <v>78</v>
      </c>
      <c r="S351" s="18" t="s">
        <v>78</v>
      </c>
    </row>
    <row r="352" spans="1:19" x14ac:dyDescent="0.35">
      <c r="A352" s="81" t="s">
        <v>116</v>
      </c>
      <c r="B352" s="17">
        <v>1154040</v>
      </c>
      <c r="C352" s="17">
        <v>7000</v>
      </c>
      <c r="D352" s="17" t="s">
        <v>99</v>
      </c>
      <c r="E352" s="17" t="s">
        <v>346</v>
      </c>
      <c r="F352" s="17" t="s">
        <v>79</v>
      </c>
      <c r="G352" s="17" t="s">
        <v>78</v>
      </c>
      <c r="H352" s="17" t="s">
        <v>78</v>
      </c>
      <c r="I352" s="17" t="s">
        <v>78</v>
      </c>
      <c r="J352" s="17" t="s">
        <v>78</v>
      </c>
      <c r="K352" s="17" t="s">
        <v>78</v>
      </c>
      <c r="L352" s="17" t="s">
        <v>78</v>
      </c>
      <c r="M352" s="17" t="s">
        <v>78</v>
      </c>
      <c r="N352" s="17" t="s">
        <v>78</v>
      </c>
      <c r="O352" s="17"/>
      <c r="P352" s="17" t="s">
        <v>78</v>
      </c>
      <c r="Q352" s="17" t="s">
        <v>78</v>
      </c>
      <c r="R352" s="17" t="s">
        <v>357</v>
      </c>
      <c r="S352" s="18" t="s">
        <v>78</v>
      </c>
    </row>
    <row r="353" spans="1:19" x14ac:dyDescent="0.35">
      <c r="A353" s="82" t="s">
        <v>116</v>
      </c>
      <c r="B353" s="19">
        <v>243560</v>
      </c>
      <c r="C353" s="19">
        <v>7000</v>
      </c>
      <c r="D353" s="19" t="s">
        <v>99</v>
      </c>
      <c r="E353" s="19" t="s">
        <v>422</v>
      </c>
      <c r="F353" s="19" t="s">
        <v>10</v>
      </c>
      <c r="G353" s="19" t="s">
        <v>15</v>
      </c>
      <c r="H353" s="19" t="s">
        <v>78</v>
      </c>
      <c r="I353" s="19" t="s">
        <v>78</v>
      </c>
      <c r="J353" s="19" t="s">
        <v>78</v>
      </c>
      <c r="K353" s="19" t="s">
        <v>322</v>
      </c>
      <c r="L353" s="19" t="s">
        <v>78</v>
      </c>
      <c r="M353" s="19" t="s">
        <v>78</v>
      </c>
      <c r="N353" s="19" t="s">
        <v>78</v>
      </c>
      <c r="O353" s="19"/>
      <c r="P353" s="19" t="s">
        <v>78</v>
      </c>
      <c r="Q353" s="19" t="s">
        <v>78</v>
      </c>
      <c r="R353" s="19" t="s">
        <v>78</v>
      </c>
      <c r="S353" s="20" t="s">
        <v>78</v>
      </c>
    </row>
    <row r="354" spans="1:19" x14ac:dyDescent="0.35">
      <c r="A354" s="82" t="s">
        <v>116</v>
      </c>
      <c r="B354" s="19">
        <v>501720</v>
      </c>
      <c r="C354" s="19">
        <v>17600</v>
      </c>
      <c r="D354" s="19" t="s">
        <v>99</v>
      </c>
      <c r="E354" s="19" t="s">
        <v>348</v>
      </c>
      <c r="F354" s="19" t="s">
        <v>11</v>
      </c>
      <c r="G354" s="19" t="s">
        <v>17</v>
      </c>
      <c r="H354" s="19" t="s">
        <v>78</v>
      </c>
      <c r="I354" s="19" t="s">
        <v>78</v>
      </c>
      <c r="J354" s="19" t="s">
        <v>78</v>
      </c>
      <c r="K354" s="19" t="s">
        <v>345</v>
      </c>
      <c r="L354" s="19" t="s">
        <v>78</v>
      </c>
      <c r="M354" s="19" t="s">
        <v>78</v>
      </c>
      <c r="N354" s="19" t="s">
        <v>78</v>
      </c>
      <c r="O354" s="19" t="s">
        <v>78</v>
      </c>
      <c r="P354" s="19" t="s">
        <v>78</v>
      </c>
      <c r="Q354" s="19" t="s">
        <v>78</v>
      </c>
      <c r="R354" s="19" t="s">
        <v>78</v>
      </c>
      <c r="S354" s="20" t="s">
        <v>78</v>
      </c>
    </row>
    <row r="355" spans="1:19" x14ac:dyDescent="0.35">
      <c r="A355" s="81" t="s">
        <v>117</v>
      </c>
      <c r="B355" s="17">
        <v>755960</v>
      </c>
      <c r="C355" s="17">
        <v>15960</v>
      </c>
      <c r="D355" s="17" t="s">
        <v>99</v>
      </c>
      <c r="E355" s="17" t="s">
        <v>439</v>
      </c>
      <c r="F355" s="17" t="s">
        <v>79</v>
      </c>
      <c r="G355" s="17" t="s">
        <v>78</v>
      </c>
      <c r="H355" s="17" t="s">
        <v>78</v>
      </c>
      <c r="I355" s="17" t="s">
        <v>78</v>
      </c>
      <c r="J355" s="17" t="s">
        <v>78</v>
      </c>
      <c r="K355" s="17" t="s">
        <v>417</v>
      </c>
      <c r="L355" s="17" t="s">
        <v>78</v>
      </c>
      <c r="M355" s="17" t="s">
        <v>78</v>
      </c>
      <c r="N355" s="17" t="s">
        <v>78</v>
      </c>
      <c r="O355" s="17"/>
      <c r="P355" s="17" t="s">
        <v>78</v>
      </c>
      <c r="Q355" s="17" t="s">
        <v>78</v>
      </c>
      <c r="R355" s="17" t="s">
        <v>357</v>
      </c>
      <c r="S355" s="18" t="s">
        <v>78</v>
      </c>
    </row>
    <row r="356" spans="1:19" x14ac:dyDescent="0.35">
      <c r="A356" s="82" t="s">
        <v>117</v>
      </c>
      <c r="B356" s="19">
        <v>1180800</v>
      </c>
      <c r="C356" s="19">
        <v>15400</v>
      </c>
      <c r="D356" s="19" t="s">
        <v>99</v>
      </c>
      <c r="E356" s="19" t="s">
        <v>346</v>
      </c>
      <c r="F356" s="19" t="s">
        <v>11</v>
      </c>
      <c r="G356" s="19" t="s">
        <v>301</v>
      </c>
      <c r="H356" s="19" t="s">
        <v>78</v>
      </c>
      <c r="I356" s="19" t="s">
        <v>78</v>
      </c>
      <c r="J356" s="19" t="s">
        <v>78</v>
      </c>
      <c r="K356" s="19" t="s">
        <v>322</v>
      </c>
      <c r="L356" s="19" t="s">
        <v>78</v>
      </c>
      <c r="M356" s="19" t="s">
        <v>78</v>
      </c>
      <c r="N356" s="19" t="s">
        <v>78</v>
      </c>
      <c r="O356" s="19"/>
      <c r="P356" s="19" t="s">
        <v>78</v>
      </c>
      <c r="Q356" s="19" t="s">
        <v>78</v>
      </c>
      <c r="R356" s="19" t="s">
        <v>78</v>
      </c>
      <c r="S356" s="20" t="s">
        <v>78</v>
      </c>
    </row>
    <row r="357" spans="1:19" x14ac:dyDescent="0.35">
      <c r="A357" s="81" t="s">
        <v>117</v>
      </c>
      <c r="B357" s="17">
        <v>431560</v>
      </c>
      <c r="C357" s="17">
        <v>15480</v>
      </c>
      <c r="D357" s="17" t="s">
        <v>99</v>
      </c>
      <c r="E357" s="17" t="s">
        <v>348</v>
      </c>
      <c r="F357" s="17" t="s">
        <v>11</v>
      </c>
      <c r="G357" s="17" t="s">
        <v>17</v>
      </c>
      <c r="H357" s="17" t="s">
        <v>78</v>
      </c>
      <c r="I357" s="17" t="s">
        <v>78</v>
      </c>
      <c r="J357" s="17" t="s">
        <v>78</v>
      </c>
      <c r="K357" s="17" t="s">
        <v>322</v>
      </c>
      <c r="L357" s="17" t="s">
        <v>78</v>
      </c>
      <c r="M357" s="17" t="s">
        <v>78</v>
      </c>
      <c r="N357" s="17" t="s">
        <v>78</v>
      </c>
      <c r="O357" s="17"/>
      <c r="P357" s="17" t="s">
        <v>78</v>
      </c>
      <c r="Q357" s="17" t="s">
        <v>78</v>
      </c>
      <c r="R357" s="17" t="s">
        <v>78</v>
      </c>
      <c r="S357" s="18" t="s">
        <v>78</v>
      </c>
    </row>
    <row r="358" spans="1:19" x14ac:dyDescent="0.35">
      <c r="A358" s="82" t="s">
        <v>117</v>
      </c>
      <c r="B358" s="19">
        <v>412080</v>
      </c>
      <c r="C358" s="19">
        <v>13400</v>
      </c>
      <c r="D358" s="19" t="s">
        <v>99</v>
      </c>
      <c r="E358" s="19" t="s">
        <v>415</v>
      </c>
      <c r="F358" s="19" t="s">
        <v>79</v>
      </c>
      <c r="G358" s="19" t="s">
        <v>78</v>
      </c>
      <c r="H358" s="19" t="s">
        <v>78</v>
      </c>
      <c r="I358" s="19" t="s">
        <v>78</v>
      </c>
      <c r="J358" s="19" t="s">
        <v>78</v>
      </c>
      <c r="K358" s="19" t="s">
        <v>133</v>
      </c>
      <c r="L358" s="19" t="s">
        <v>78</v>
      </c>
      <c r="M358" s="19" t="s">
        <v>78</v>
      </c>
      <c r="N358" s="19" t="s">
        <v>78</v>
      </c>
      <c r="O358" s="19"/>
      <c r="P358" s="19" t="s">
        <v>78</v>
      </c>
      <c r="Q358" s="19" t="s">
        <v>78</v>
      </c>
      <c r="R358" s="19" t="s">
        <v>151</v>
      </c>
      <c r="S358" s="20" t="s">
        <v>78</v>
      </c>
    </row>
    <row r="359" spans="1:19" x14ac:dyDescent="0.35">
      <c r="A359" s="82" t="s">
        <v>117</v>
      </c>
      <c r="B359" s="19">
        <v>823160</v>
      </c>
      <c r="C359" s="19">
        <v>25680</v>
      </c>
      <c r="D359" s="19" t="s">
        <v>99</v>
      </c>
      <c r="E359" s="19" t="s">
        <v>422</v>
      </c>
      <c r="F359" s="19" t="s">
        <v>83</v>
      </c>
      <c r="G359" s="19" t="s">
        <v>307</v>
      </c>
      <c r="H359" s="19" t="s">
        <v>78</v>
      </c>
      <c r="I359" s="19" t="s">
        <v>78</v>
      </c>
      <c r="J359" s="19" t="s">
        <v>78</v>
      </c>
      <c r="K359" s="19" t="s">
        <v>319</v>
      </c>
      <c r="L359" s="19" t="s">
        <v>78</v>
      </c>
      <c r="M359" s="19" t="s">
        <v>78</v>
      </c>
      <c r="N359" s="19" t="s">
        <v>78</v>
      </c>
      <c r="O359" s="19" t="s">
        <v>78</v>
      </c>
      <c r="P359" s="19" t="s">
        <v>78</v>
      </c>
      <c r="Q359" s="19" t="s">
        <v>78</v>
      </c>
      <c r="R359" s="19" t="s">
        <v>78</v>
      </c>
      <c r="S359" s="20" t="s">
        <v>78</v>
      </c>
    </row>
    <row r="360" spans="1:19" x14ac:dyDescent="0.35">
      <c r="A360" s="82" t="s">
        <v>118</v>
      </c>
      <c r="B360" s="19">
        <v>798320</v>
      </c>
      <c r="C360" s="19">
        <v>9800</v>
      </c>
      <c r="D360" s="19" t="s">
        <v>99</v>
      </c>
      <c r="E360" s="19" t="s">
        <v>439</v>
      </c>
      <c r="F360" s="19" t="s">
        <v>10</v>
      </c>
      <c r="G360" s="19" t="s">
        <v>308</v>
      </c>
      <c r="H360" s="19" t="s">
        <v>78</v>
      </c>
      <c r="I360" s="19" t="s">
        <v>78</v>
      </c>
      <c r="J360" s="19" t="s">
        <v>78</v>
      </c>
      <c r="K360" s="19" t="s">
        <v>317</v>
      </c>
      <c r="L360" s="19" t="s">
        <v>78</v>
      </c>
      <c r="M360" s="19" t="s">
        <v>78</v>
      </c>
      <c r="N360" s="19" t="s">
        <v>78</v>
      </c>
      <c r="O360" s="19"/>
      <c r="P360" s="19" t="s">
        <v>78</v>
      </c>
      <c r="Q360" s="19" t="s">
        <v>78</v>
      </c>
      <c r="R360" s="19" t="s">
        <v>78</v>
      </c>
      <c r="S360" s="20" t="s">
        <v>78</v>
      </c>
    </row>
    <row r="361" spans="1:19" x14ac:dyDescent="0.35">
      <c r="A361" s="82" t="s">
        <v>118</v>
      </c>
      <c r="B361" s="19">
        <v>541400</v>
      </c>
      <c r="C361" s="19">
        <v>14760</v>
      </c>
      <c r="D361" s="19" t="s">
        <v>99</v>
      </c>
      <c r="E361" s="19" t="s">
        <v>415</v>
      </c>
      <c r="F361" s="19" t="s">
        <v>11</v>
      </c>
      <c r="G361" s="19" t="s">
        <v>282</v>
      </c>
      <c r="H361" s="19" t="s">
        <v>78</v>
      </c>
      <c r="I361" s="19" t="s">
        <v>78</v>
      </c>
      <c r="J361" s="19" t="s">
        <v>78</v>
      </c>
      <c r="K361" s="19" t="s">
        <v>318</v>
      </c>
      <c r="L361" s="19" t="s">
        <v>78</v>
      </c>
      <c r="M361" s="19" t="s">
        <v>78</v>
      </c>
      <c r="N361" s="19" t="s">
        <v>78</v>
      </c>
      <c r="O361" s="19"/>
      <c r="P361" s="19" t="s">
        <v>78</v>
      </c>
      <c r="Q361" s="19" t="s">
        <v>78</v>
      </c>
      <c r="R361" s="19" t="s">
        <v>78</v>
      </c>
      <c r="S361" s="20" t="s">
        <v>78</v>
      </c>
    </row>
    <row r="362" spans="1:19" x14ac:dyDescent="0.35">
      <c r="A362" s="81" t="s">
        <v>118</v>
      </c>
      <c r="B362" s="17">
        <v>1274000</v>
      </c>
      <c r="C362" s="17">
        <v>19120</v>
      </c>
      <c r="D362" s="17" t="s">
        <v>99</v>
      </c>
      <c r="E362" s="17" t="s">
        <v>346</v>
      </c>
      <c r="F362" s="17" t="s">
        <v>79</v>
      </c>
      <c r="G362" s="17" t="s">
        <v>78</v>
      </c>
      <c r="H362" s="17" t="s">
        <v>78</v>
      </c>
      <c r="I362" s="17" t="s">
        <v>78</v>
      </c>
      <c r="J362" s="17" t="s">
        <v>78</v>
      </c>
      <c r="K362" s="17" t="s">
        <v>345</v>
      </c>
      <c r="L362" s="17" t="s">
        <v>78</v>
      </c>
      <c r="M362" s="17" t="s">
        <v>78</v>
      </c>
      <c r="N362" s="17" t="s">
        <v>78</v>
      </c>
      <c r="O362" s="17"/>
      <c r="P362" s="17" t="s">
        <v>78</v>
      </c>
      <c r="Q362" s="17" t="s">
        <v>78</v>
      </c>
      <c r="R362" s="17" t="s">
        <v>209</v>
      </c>
      <c r="S362" s="18" t="s">
        <v>78</v>
      </c>
    </row>
    <row r="363" spans="1:19" x14ac:dyDescent="0.35">
      <c r="A363" s="82" t="s">
        <v>118</v>
      </c>
      <c r="B363" s="19">
        <v>559080</v>
      </c>
      <c r="C363" s="19">
        <v>14720</v>
      </c>
      <c r="D363" s="19" t="s">
        <v>99</v>
      </c>
      <c r="E363" s="19" t="s">
        <v>376</v>
      </c>
      <c r="F363" s="19" t="s">
        <v>79</v>
      </c>
      <c r="G363" s="19" t="s">
        <v>78</v>
      </c>
      <c r="H363" s="19" t="s">
        <v>78</v>
      </c>
      <c r="I363" s="19" t="s">
        <v>78</v>
      </c>
      <c r="J363" s="19" t="s">
        <v>78</v>
      </c>
      <c r="K363" s="19" t="s">
        <v>133</v>
      </c>
      <c r="L363" s="19" t="s">
        <v>78</v>
      </c>
      <c r="M363" s="19" t="s">
        <v>78</v>
      </c>
      <c r="N363" s="19" t="s">
        <v>78</v>
      </c>
      <c r="O363" s="19"/>
      <c r="P363" s="19" t="s">
        <v>78</v>
      </c>
      <c r="Q363" s="19" t="s">
        <v>78</v>
      </c>
      <c r="R363" s="19" t="s">
        <v>151</v>
      </c>
      <c r="S363" s="20" t="s">
        <v>78</v>
      </c>
    </row>
    <row r="364" spans="1:19" x14ac:dyDescent="0.35">
      <c r="A364" s="82" t="s">
        <v>118</v>
      </c>
      <c r="B364" s="19">
        <v>976000</v>
      </c>
      <c r="C364" s="19">
        <v>15640</v>
      </c>
      <c r="D364" s="19" t="s">
        <v>99</v>
      </c>
      <c r="E364" s="19" t="s">
        <v>422</v>
      </c>
      <c r="F364" s="19" t="s">
        <v>10</v>
      </c>
      <c r="G364" s="19" t="s">
        <v>15</v>
      </c>
      <c r="H364" s="19" t="s">
        <v>78</v>
      </c>
      <c r="I364" s="19" t="s">
        <v>78</v>
      </c>
      <c r="J364" s="19" t="s">
        <v>78</v>
      </c>
      <c r="K364" s="19" t="s">
        <v>133</v>
      </c>
      <c r="L364" s="19" t="s">
        <v>78</v>
      </c>
      <c r="M364" s="19" t="s">
        <v>78</v>
      </c>
      <c r="N364" s="19" t="s">
        <v>78</v>
      </c>
      <c r="O364" s="19" t="s">
        <v>78</v>
      </c>
      <c r="P364" s="19" t="s">
        <v>78</v>
      </c>
      <c r="Q364" s="19" t="s">
        <v>78</v>
      </c>
      <c r="R364" s="19" t="s">
        <v>78</v>
      </c>
      <c r="S364" s="20" t="s">
        <v>78</v>
      </c>
    </row>
    <row r="365" spans="1:19" x14ac:dyDescent="0.35">
      <c r="A365" s="81" t="s">
        <v>119</v>
      </c>
      <c r="B365" s="17">
        <v>834000</v>
      </c>
      <c r="C365" s="17">
        <v>17560</v>
      </c>
      <c r="D365" s="17" t="s">
        <v>99</v>
      </c>
      <c r="E365" s="17" t="s">
        <v>344</v>
      </c>
      <c r="F365" s="17" t="s">
        <v>105</v>
      </c>
      <c r="G365" s="17" t="s">
        <v>78</v>
      </c>
      <c r="H365" s="17" t="s">
        <v>78</v>
      </c>
      <c r="I365" s="17" t="s">
        <v>78</v>
      </c>
      <c r="J365" s="17" t="s">
        <v>78</v>
      </c>
      <c r="K365" s="17" t="s">
        <v>317</v>
      </c>
      <c r="L365" s="17" t="s">
        <v>78</v>
      </c>
      <c r="M365" s="17" t="s">
        <v>78</v>
      </c>
      <c r="N365" s="17" t="s">
        <v>78</v>
      </c>
      <c r="O365" s="17"/>
      <c r="P365" s="17" t="s">
        <v>78</v>
      </c>
      <c r="Q365" s="17" t="s">
        <v>78</v>
      </c>
      <c r="R365" s="17" t="s">
        <v>78</v>
      </c>
      <c r="S365" s="18" t="s">
        <v>78</v>
      </c>
    </row>
    <row r="366" spans="1:19" x14ac:dyDescent="0.35">
      <c r="A366" s="82" t="s">
        <v>119</v>
      </c>
      <c r="B366" s="19">
        <v>1576320</v>
      </c>
      <c r="C366" s="19">
        <v>15400</v>
      </c>
      <c r="D366" s="19" t="s">
        <v>99</v>
      </c>
      <c r="E366" s="19" t="s">
        <v>415</v>
      </c>
      <c r="F366" s="19" t="s">
        <v>83</v>
      </c>
      <c r="G366" s="19" t="s">
        <v>308</v>
      </c>
      <c r="H366" s="19" t="s">
        <v>78</v>
      </c>
      <c r="I366" s="19" t="s">
        <v>78</v>
      </c>
      <c r="J366" s="19" t="s">
        <v>78</v>
      </c>
      <c r="K366" s="19" t="s">
        <v>417</v>
      </c>
      <c r="L366" s="19" t="s">
        <v>78</v>
      </c>
      <c r="M366" s="19" t="s">
        <v>78</v>
      </c>
      <c r="N366" s="19" t="s">
        <v>78</v>
      </c>
      <c r="O366" s="19"/>
      <c r="P366" s="19" t="s">
        <v>78</v>
      </c>
      <c r="Q366" s="19" t="s">
        <v>78</v>
      </c>
      <c r="R366" s="19" t="s">
        <v>78</v>
      </c>
      <c r="S366" s="20" t="s">
        <v>78</v>
      </c>
    </row>
    <row r="367" spans="1:19" x14ac:dyDescent="0.35">
      <c r="A367" s="81" t="s">
        <v>119</v>
      </c>
      <c r="B367" s="17">
        <v>632440</v>
      </c>
      <c r="C367" s="17">
        <v>13440</v>
      </c>
      <c r="D367" s="17" t="s">
        <v>99</v>
      </c>
      <c r="E367" s="17" t="s">
        <v>415</v>
      </c>
      <c r="F367" s="17" t="s">
        <v>11</v>
      </c>
      <c r="G367" s="17" t="s">
        <v>282</v>
      </c>
      <c r="H367" s="17" t="s">
        <v>78</v>
      </c>
      <c r="I367" s="17" t="s">
        <v>78</v>
      </c>
      <c r="J367" s="17" t="s">
        <v>78</v>
      </c>
      <c r="K367" s="17" t="s">
        <v>345</v>
      </c>
      <c r="L367" s="17" t="s">
        <v>78</v>
      </c>
      <c r="M367" s="17" t="s">
        <v>78</v>
      </c>
      <c r="N367" s="17" t="s">
        <v>78</v>
      </c>
      <c r="O367" s="17"/>
      <c r="P367" s="17" t="s">
        <v>78</v>
      </c>
      <c r="Q367" s="17" t="s">
        <v>78</v>
      </c>
      <c r="R367" s="17" t="s">
        <v>78</v>
      </c>
      <c r="S367" s="18" t="s">
        <v>78</v>
      </c>
    </row>
    <row r="368" spans="1:19" x14ac:dyDescent="0.35">
      <c r="A368" s="82" t="s">
        <v>119</v>
      </c>
      <c r="B368" s="19">
        <v>598920</v>
      </c>
      <c r="C368" s="19">
        <v>14520</v>
      </c>
      <c r="D368" s="19" t="s">
        <v>99</v>
      </c>
      <c r="E368" s="19" t="s">
        <v>415</v>
      </c>
      <c r="F368" s="19" t="s">
        <v>13</v>
      </c>
      <c r="G368" s="19" t="s">
        <v>78</v>
      </c>
      <c r="H368" s="19" t="s">
        <v>78</v>
      </c>
      <c r="I368" s="19" t="s">
        <v>78</v>
      </c>
      <c r="J368" s="19" t="s">
        <v>78</v>
      </c>
      <c r="K368" s="19" t="s">
        <v>345</v>
      </c>
      <c r="L368" s="19" t="s">
        <v>78</v>
      </c>
      <c r="M368" s="19" t="s">
        <v>78</v>
      </c>
      <c r="N368" s="19" t="s">
        <v>78</v>
      </c>
      <c r="O368" s="19"/>
      <c r="P368" s="19" t="s">
        <v>78</v>
      </c>
      <c r="Q368" s="19" t="s">
        <v>78</v>
      </c>
      <c r="R368" s="19" t="s">
        <v>78</v>
      </c>
      <c r="S368" s="20" t="s">
        <v>78</v>
      </c>
    </row>
    <row r="369" spans="1:19" x14ac:dyDescent="0.35">
      <c r="A369" s="82" t="s">
        <v>119</v>
      </c>
      <c r="B369" s="19">
        <v>1068760</v>
      </c>
      <c r="C369" s="19">
        <v>12760</v>
      </c>
      <c r="D369" s="19" t="s">
        <v>99</v>
      </c>
      <c r="E369" s="19" t="s">
        <v>421</v>
      </c>
      <c r="F369" s="19" t="s">
        <v>11</v>
      </c>
      <c r="G369" s="19" t="s">
        <v>301</v>
      </c>
      <c r="H369" s="19" t="s">
        <v>78</v>
      </c>
      <c r="I369" s="19" t="s">
        <v>78</v>
      </c>
      <c r="J369" s="19" t="s">
        <v>78</v>
      </c>
      <c r="K369" s="19" t="s">
        <v>318</v>
      </c>
      <c r="L369" s="19" t="s">
        <v>78</v>
      </c>
      <c r="M369" s="19" t="s">
        <v>78</v>
      </c>
      <c r="N369" s="19" t="s">
        <v>78</v>
      </c>
      <c r="O369" s="19" t="s">
        <v>78</v>
      </c>
      <c r="P369" s="19" t="s">
        <v>78</v>
      </c>
      <c r="Q369" s="19" t="s">
        <v>78</v>
      </c>
      <c r="R369" s="19" t="s">
        <v>78</v>
      </c>
      <c r="S369" s="20" t="s">
        <v>78</v>
      </c>
    </row>
    <row r="370" spans="1:19" x14ac:dyDescent="0.35">
      <c r="A370" s="82" t="s">
        <v>120</v>
      </c>
      <c r="B370" s="19">
        <v>946080</v>
      </c>
      <c r="C370" s="19">
        <v>13680</v>
      </c>
      <c r="D370" s="19" t="s">
        <v>99</v>
      </c>
      <c r="E370" s="19" t="s">
        <v>344</v>
      </c>
      <c r="F370" s="19" t="s">
        <v>83</v>
      </c>
      <c r="G370" s="19" t="s">
        <v>308</v>
      </c>
      <c r="H370" s="19" t="s">
        <v>78</v>
      </c>
      <c r="I370" s="19" t="s">
        <v>78</v>
      </c>
      <c r="J370" s="19" t="s">
        <v>78</v>
      </c>
      <c r="K370" s="19" t="s">
        <v>319</v>
      </c>
      <c r="L370" s="19" t="s">
        <v>78</v>
      </c>
      <c r="M370" s="19" t="s">
        <v>78</v>
      </c>
      <c r="N370" s="19" t="s">
        <v>78</v>
      </c>
      <c r="O370" s="19"/>
      <c r="P370" s="19" t="s">
        <v>78</v>
      </c>
      <c r="Q370" s="19" t="s">
        <v>78</v>
      </c>
      <c r="R370" s="19" t="s">
        <v>78</v>
      </c>
      <c r="S370" s="20" t="s">
        <v>78</v>
      </c>
    </row>
    <row r="371" spans="1:19" x14ac:dyDescent="0.35">
      <c r="A371" s="81" t="s">
        <v>120</v>
      </c>
      <c r="B371" s="17">
        <v>1658800</v>
      </c>
      <c r="C371" s="17">
        <v>7000</v>
      </c>
      <c r="D371" s="17" t="s">
        <v>99</v>
      </c>
      <c r="E371" s="17" t="s">
        <v>376</v>
      </c>
      <c r="F371" s="17" t="s">
        <v>10</v>
      </c>
      <c r="G371" s="17" t="s">
        <v>304</v>
      </c>
      <c r="H371" s="17" t="s">
        <v>78</v>
      </c>
      <c r="I371" s="17" t="s">
        <v>78</v>
      </c>
      <c r="J371" s="17" t="s">
        <v>78</v>
      </c>
      <c r="K371" s="17" t="s">
        <v>78</v>
      </c>
      <c r="L371" s="17" t="s">
        <v>78</v>
      </c>
      <c r="M371" s="17" t="s">
        <v>78</v>
      </c>
      <c r="N371" s="17" t="s">
        <v>78</v>
      </c>
      <c r="O371" s="17"/>
      <c r="P371" s="17" t="s">
        <v>78</v>
      </c>
      <c r="Q371" s="17" t="s">
        <v>78</v>
      </c>
      <c r="R371" s="17" t="s">
        <v>78</v>
      </c>
      <c r="S371" s="18" t="s">
        <v>78</v>
      </c>
    </row>
    <row r="372" spans="1:19" x14ac:dyDescent="0.35">
      <c r="A372" s="82" t="s">
        <v>120</v>
      </c>
      <c r="B372" s="19">
        <v>670000</v>
      </c>
      <c r="C372" s="19">
        <v>20520</v>
      </c>
      <c r="D372" s="19" t="s">
        <v>99</v>
      </c>
      <c r="E372" s="19" t="s">
        <v>415</v>
      </c>
      <c r="F372" s="19" t="s">
        <v>79</v>
      </c>
      <c r="G372" s="19" t="s">
        <v>78</v>
      </c>
      <c r="H372" s="19" t="s">
        <v>78</v>
      </c>
      <c r="I372" s="19" t="s">
        <v>78</v>
      </c>
      <c r="J372" s="19" t="s">
        <v>78</v>
      </c>
      <c r="K372" s="19" t="s">
        <v>319</v>
      </c>
      <c r="L372" s="19" t="s">
        <v>78</v>
      </c>
      <c r="M372" s="19" t="s">
        <v>78</v>
      </c>
      <c r="N372" s="19" t="s">
        <v>78</v>
      </c>
      <c r="O372" s="19"/>
      <c r="P372" s="19" t="s">
        <v>78</v>
      </c>
      <c r="Q372" s="19" t="s">
        <v>78</v>
      </c>
      <c r="R372" s="19" t="s">
        <v>15</v>
      </c>
      <c r="S372" s="20" t="s">
        <v>78</v>
      </c>
    </row>
    <row r="373" spans="1:19" x14ac:dyDescent="0.35">
      <c r="A373" s="82" t="s">
        <v>120</v>
      </c>
      <c r="B373" s="19">
        <v>621680</v>
      </c>
      <c r="C373" s="19">
        <v>11440</v>
      </c>
      <c r="D373" s="19" t="s">
        <v>99</v>
      </c>
      <c r="E373" s="19" t="s">
        <v>376</v>
      </c>
      <c r="F373" s="19" t="s">
        <v>83</v>
      </c>
      <c r="G373" s="19" t="s">
        <v>304</v>
      </c>
      <c r="H373" s="19" t="s">
        <v>78</v>
      </c>
      <c r="I373" s="19" t="s">
        <v>78</v>
      </c>
      <c r="J373" s="19" t="s">
        <v>78</v>
      </c>
      <c r="K373" s="19" t="s">
        <v>318</v>
      </c>
      <c r="L373" s="19" t="s">
        <v>78</v>
      </c>
      <c r="M373" s="19" t="s">
        <v>78</v>
      </c>
      <c r="N373" s="19" t="s">
        <v>78</v>
      </c>
      <c r="O373" s="19"/>
      <c r="P373" s="19" t="s">
        <v>78</v>
      </c>
      <c r="Q373" s="19" t="s">
        <v>78</v>
      </c>
      <c r="R373" s="19" t="s">
        <v>78</v>
      </c>
      <c r="S373" s="20" t="s">
        <v>78</v>
      </c>
    </row>
    <row r="374" spans="1:19" x14ac:dyDescent="0.35">
      <c r="A374" s="82" t="s">
        <v>120</v>
      </c>
      <c r="B374" s="19">
        <v>1131120</v>
      </c>
      <c r="C374" s="19">
        <v>9720</v>
      </c>
      <c r="D374" s="19" t="s">
        <v>99</v>
      </c>
      <c r="E374" s="19" t="s">
        <v>562</v>
      </c>
      <c r="F374" s="19" t="s">
        <v>11</v>
      </c>
      <c r="G374" s="19" t="s">
        <v>296</v>
      </c>
      <c r="H374" s="19" t="s">
        <v>78</v>
      </c>
      <c r="I374" s="19" t="s">
        <v>78</v>
      </c>
      <c r="J374" s="19" t="s">
        <v>78</v>
      </c>
      <c r="K374" s="19" t="s">
        <v>319</v>
      </c>
      <c r="L374" s="19" t="s">
        <v>78</v>
      </c>
      <c r="M374" s="19" t="s">
        <v>78</v>
      </c>
      <c r="N374" s="19" t="s">
        <v>78</v>
      </c>
      <c r="O374" s="19" t="s">
        <v>78</v>
      </c>
      <c r="P374" s="19" t="s">
        <v>78</v>
      </c>
      <c r="Q374" s="19" t="s">
        <v>78</v>
      </c>
      <c r="R374" s="19" t="s">
        <v>78</v>
      </c>
      <c r="S374" s="20" t="s">
        <v>78</v>
      </c>
    </row>
    <row r="375" spans="1:19" x14ac:dyDescent="0.35">
      <c r="A375" s="82" t="s">
        <v>659</v>
      </c>
      <c r="B375" s="19">
        <v>17600</v>
      </c>
      <c r="C375" s="19">
        <v>19400</v>
      </c>
      <c r="D375" s="19" t="s">
        <v>633</v>
      </c>
      <c r="E375" s="19" t="s">
        <v>348</v>
      </c>
      <c r="F375" s="19" t="s">
        <v>10</v>
      </c>
      <c r="G375" s="19" t="s">
        <v>17</v>
      </c>
      <c r="H375" s="19" t="s">
        <v>78</v>
      </c>
      <c r="I375" s="19" t="s">
        <v>78</v>
      </c>
      <c r="J375" s="19" t="s">
        <v>78</v>
      </c>
      <c r="K375" s="19" t="s">
        <v>78</v>
      </c>
      <c r="L375" s="19" t="s">
        <v>78</v>
      </c>
      <c r="M375" s="19" t="s">
        <v>78</v>
      </c>
      <c r="N375" s="19" t="s">
        <v>78</v>
      </c>
      <c r="O375" s="19" t="s">
        <v>78</v>
      </c>
      <c r="P375" s="19" t="s">
        <v>212</v>
      </c>
      <c r="Q375" s="19" t="s">
        <v>78</v>
      </c>
      <c r="R375" s="19" t="s">
        <v>78</v>
      </c>
      <c r="S375" s="20" t="s">
        <v>78</v>
      </c>
    </row>
    <row r="376" spans="1:19" x14ac:dyDescent="0.35">
      <c r="A376" s="82" t="s">
        <v>650</v>
      </c>
      <c r="B376" s="19">
        <v>1103320</v>
      </c>
      <c r="C376" s="19">
        <v>13120</v>
      </c>
      <c r="D376" s="19" t="s">
        <v>633</v>
      </c>
      <c r="E376" s="19" t="s">
        <v>344</v>
      </c>
      <c r="F376" s="19" t="s">
        <v>11</v>
      </c>
      <c r="G376" s="19" t="s">
        <v>283</v>
      </c>
      <c r="H376" s="19" t="s">
        <v>78</v>
      </c>
      <c r="I376" s="19" t="s">
        <v>78</v>
      </c>
      <c r="J376" s="19" t="s">
        <v>78</v>
      </c>
      <c r="K376" s="19" t="s">
        <v>78</v>
      </c>
      <c r="L376" s="19" t="s">
        <v>78</v>
      </c>
      <c r="M376" s="19" t="s">
        <v>78</v>
      </c>
      <c r="N376" s="19" t="s">
        <v>78</v>
      </c>
      <c r="O376" s="19" t="s">
        <v>78</v>
      </c>
      <c r="P376" s="19" t="s">
        <v>212</v>
      </c>
      <c r="Q376" s="19" t="s">
        <v>78</v>
      </c>
      <c r="R376" s="19" t="s">
        <v>78</v>
      </c>
      <c r="S376" s="20" t="s">
        <v>78</v>
      </c>
    </row>
    <row r="377" spans="1:19" x14ac:dyDescent="0.35">
      <c r="A377" s="82" t="s">
        <v>649</v>
      </c>
      <c r="B377" s="19">
        <v>1191640</v>
      </c>
      <c r="C377" s="19">
        <v>25120</v>
      </c>
      <c r="D377" s="19" t="s">
        <v>633</v>
      </c>
      <c r="E377" s="19" t="s">
        <v>344</v>
      </c>
      <c r="F377" s="19" t="s">
        <v>13</v>
      </c>
      <c r="G377" s="19" t="s">
        <v>78</v>
      </c>
      <c r="H377" s="19" t="s">
        <v>78</v>
      </c>
      <c r="I377" s="19" t="s">
        <v>78</v>
      </c>
      <c r="J377" s="19" t="s">
        <v>78</v>
      </c>
      <c r="K377" s="19" t="s">
        <v>78</v>
      </c>
      <c r="L377" s="19" t="s">
        <v>78</v>
      </c>
      <c r="M377" s="19" t="s">
        <v>78</v>
      </c>
      <c r="N377" s="19" t="s">
        <v>78</v>
      </c>
      <c r="O377" s="19" t="s">
        <v>78</v>
      </c>
      <c r="P377" s="19" t="s">
        <v>648</v>
      </c>
      <c r="Q377" s="19" t="s">
        <v>78</v>
      </c>
      <c r="R377" s="19" t="s">
        <v>78</v>
      </c>
      <c r="S377" s="20" t="s">
        <v>78</v>
      </c>
    </row>
    <row r="378" spans="1:19" x14ac:dyDescent="0.35">
      <c r="A378" s="82" t="s">
        <v>647</v>
      </c>
      <c r="B378" s="19">
        <v>1218440</v>
      </c>
      <c r="C378" s="19">
        <v>7000</v>
      </c>
      <c r="D378" s="19" t="s">
        <v>633</v>
      </c>
      <c r="E378" s="19" t="s">
        <v>344</v>
      </c>
      <c r="F378" s="19" t="s">
        <v>10</v>
      </c>
      <c r="G378" s="19" t="s">
        <v>303</v>
      </c>
      <c r="H378" s="19" t="s">
        <v>78</v>
      </c>
      <c r="I378" s="19" t="s">
        <v>78</v>
      </c>
      <c r="J378" s="19" t="s">
        <v>78</v>
      </c>
      <c r="K378" s="19" t="s">
        <v>78</v>
      </c>
      <c r="L378" s="19" t="s">
        <v>78</v>
      </c>
      <c r="M378" s="19" t="s">
        <v>78</v>
      </c>
      <c r="N378" s="19" t="s">
        <v>78</v>
      </c>
      <c r="O378" s="19" t="s">
        <v>78</v>
      </c>
      <c r="P378" s="19" t="s">
        <v>648</v>
      </c>
      <c r="Q378" s="19" t="s">
        <v>78</v>
      </c>
      <c r="R378" s="19" t="s">
        <v>78</v>
      </c>
      <c r="S378" s="20" t="s">
        <v>78</v>
      </c>
    </row>
    <row r="379" spans="1:19" x14ac:dyDescent="0.35">
      <c r="A379" s="82" t="s">
        <v>646</v>
      </c>
      <c r="B379" s="19">
        <v>1377800</v>
      </c>
      <c r="C379" s="19">
        <v>19800</v>
      </c>
      <c r="D379" s="19" t="s">
        <v>633</v>
      </c>
      <c r="E379" s="19" t="s">
        <v>439</v>
      </c>
      <c r="F379" s="19" t="s">
        <v>277</v>
      </c>
      <c r="G379" s="19" t="s">
        <v>78</v>
      </c>
      <c r="H379" s="19" t="s">
        <v>78</v>
      </c>
      <c r="I379" s="19" t="s">
        <v>78</v>
      </c>
      <c r="J379" s="19" t="s">
        <v>78</v>
      </c>
      <c r="K379" s="19" t="s">
        <v>78</v>
      </c>
      <c r="L379" s="19" t="s">
        <v>78</v>
      </c>
      <c r="M379" s="19" t="s">
        <v>78</v>
      </c>
      <c r="N379" s="19" t="s">
        <v>78</v>
      </c>
      <c r="O379" s="19" t="s">
        <v>78</v>
      </c>
      <c r="P379" s="19" t="s">
        <v>641</v>
      </c>
      <c r="Q379" s="19" t="s">
        <v>78</v>
      </c>
      <c r="R379" s="19" t="s">
        <v>78</v>
      </c>
      <c r="S379" s="20" t="s">
        <v>78</v>
      </c>
    </row>
    <row r="380" spans="1:19" x14ac:dyDescent="0.35">
      <c r="A380" s="82" t="s">
        <v>645</v>
      </c>
      <c r="B380" s="19">
        <v>1402680</v>
      </c>
      <c r="C380" s="19">
        <v>16320</v>
      </c>
      <c r="D380" s="19" t="s">
        <v>633</v>
      </c>
      <c r="E380" s="19" t="s">
        <v>421</v>
      </c>
      <c r="F380" s="19" t="s">
        <v>83</v>
      </c>
      <c r="G380" s="19" t="s">
        <v>283</v>
      </c>
      <c r="H380" s="19" t="s">
        <v>78</v>
      </c>
      <c r="I380" s="19" t="s">
        <v>78</v>
      </c>
      <c r="J380" s="19" t="s">
        <v>78</v>
      </c>
      <c r="K380" s="19" t="s">
        <v>78</v>
      </c>
      <c r="L380" s="19" t="s">
        <v>78</v>
      </c>
      <c r="M380" s="19" t="s">
        <v>78</v>
      </c>
      <c r="N380" s="19" t="s">
        <v>78</v>
      </c>
      <c r="O380" s="19" t="s">
        <v>78</v>
      </c>
      <c r="P380" s="19" t="s">
        <v>212</v>
      </c>
      <c r="Q380" s="19" t="s">
        <v>78</v>
      </c>
      <c r="R380" s="19" t="s">
        <v>78</v>
      </c>
      <c r="S380" s="20" t="s">
        <v>78</v>
      </c>
    </row>
    <row r="381" spans="1:19" x14ac:dyDescent="0.35">
      <c r="A381" s="82" t="s">
        <v>644</v>
      </c>
      <c r="B381" s="19">
        <v>1450800</v>
      </c>
      <c r="C381" s="19">
        <v>14560</v>
      </c>
      <c r="D381" s="19" t="s">
        <v>633</v>
      </c>
      <c r="E381" s="19" t="s">
        <v>78</v>
      </c>
      <c r="F381" s="19" t="s">
        <v>13</v>
      </c>
      <c r="G381" s="19" t="s">
        <v>78</v>
      </c>
      <c r="H381" s="19" t="s">
        <v>78</v>
      </c>
      <c r="I381" s="19" t="s">
        <v>78</v>
      </c>
      <c r="J381" s="19" t="s">
        <v>78</v>
      </c>
      <c r="K381" s="19" t="s">
        <v>78</v>
      </c>
      <c r="L381" s="19" t="s">
        <v>78</v>
      </c>
      <c r="M381" s="19" t="s">
        <v>78</v>
      </c>
      <c r="N381" s="19" t="s">
        <v>78</v>
      </c>
      <c r="O381" s="19" t="s">
        <v>78</v>
      </c>
      <c r="P381" s="19" t="s">
        <v>78</v>
      </c>
      <c r="Q381" s="19" t="s">
        <v>78</v>
      </c>
      <c r="R381" s="19" t="s">
        <v>78</v>
      </c>
      <c r="S381" s="20" t="s">
        <v>78</v>
      </c>
    </row>
    <row r="382" spans="1:19" x14ac:dyDescent="0.35">
      <c r="A382" s="82" t="s">
        <v>643</v>
      </c>
      <c r="B382" s="19">
        <v>1464600</v>
      </c>
      <c r="C382" s="19">
        <v>16280</v>
      </c>
      <c r="D382" s="19" t="s">
        <v>633</v>
      </c>
      <c r="E382" s="19" t="s">
        <v>439</v>
      </c>
      <c r="F382" s="19" t="s">
        <v>277</v>
      </c>
      <c r="G382" s="19" t="s">
        <v>308</v>
      </c>
      <c r="H382" s="19" t="s">
        <v>78</v>
      </c>
      <c r="I382" s="19" t="s">
        <v>78</v>
      </c>
      <c r="J382" s="19" t="s">
        <v>78</v>
      </c>
      <c r="K382" s="19" t="s">
        <v>78</v>
      </c>
      <c r="L382" s="19" t="s">
        <v>78</v>
      </c>
      <c r="M382" s="19" t="s">
        <v>78</v>
      </c>
      <c r="N382" s="19" t="s">
        <v>78</v>
      </c>
      <c r="O382" s="19" t="s">
        <v>78</v>
      </c>
      <c r="P382" s="19" t="s">
        <v>212</v>
      </c>
      <c r="Q382" s="19" t="s">
        <v>78</v>
      </c>
      <c r="R382" s="19" t="s">
        <v>78</v>
      </c>
      <c r="S382" s="20" t="s">
        <v>78</v>
      </c>
    </row>
    <row r="383" spans="1:19" x14ac:dyDescent="0.35">
      <c r="A383" s="82" t="s">
        <v>642</v>
      </c>
      <c r="B383" s="19">
        <v>1490360</v>
      </c>
      <c r="C383" s="19">
        <v>7280</v>
      </c>
      <c r="D383" s="19" t="s">
        <v>633</v>
      </c>
      <c r="E383" s="19" t="s">
        <v>421</v>
      </c>
      <c r="F383" s="19" t="s">
        <v>13</v>
      </c>
      <c r="G383" s="19" t="s">
        <v>78</v>
      </c>
      <c r="H383" s="19" t="s">
        <v>78</v>
      </c>
      <c r="I383" s="19" t="s">
        <v>78</v>
      </c>
      <c r="J383" s="19" t="s">
        <v>78</v>
      </c>
      <c r="K383" s="19" t="s">
        <v>78</v>
      </c>
      <c r="L383" s="19" t="s">
        <v>78</v>
      </c>
      <c r="M383" s="19" t="s">
        <v>78</v>
      </c>
      <c r="N383" s="19" t="s">
        <v>78</v>
      </c>
      <c r="O383" s="19" t="s">
        <v>78</v>
      </c>
      <c r="P383" s="19" t="s">
        <v>78</v>
      </c>
      <c r="Q383" s="19" t="s">
        <v>78</v>
      </c>
      <c r="R383" s="19" t="s">
        <v>78</v>
      </c>
      <c r="S383" s="20" t="s">
        <v>78</v>
      </c>
    </row>
    <row r="384" spans="1:19" x14ac:dyDescent="0.35">
      <c r="A384" s="82" t="s">
        <v>640</v>
      </c>
      <c r="B384" s="19">
        <v>1495720</v>
      </c>
      <c r="C384" s="19">
        <v>13320</v>
      </c>
      <c r="D384" s="19" t="s">
        <v>633</v>
      </c>
      <c r="E384" s="19" t="s">
        <v>376</v>
      </c>
      <c r="F384" s="19" t="s">
        <v>83</v>
      </c>
      <c r="G384" s="19" t="s">
        <v>306</v>
      </c>
      <c r="H384" s="19" t="s">
        <v>78</v>
      </c>
      <c r="I384" s="19" t="s">
        <v>78</v>
      </c>
      <c r="J384" s="19" t="s">
        <v>78</v>
      </c>
      <c r="K384" s="19" t="s">
        <v>78</v>
      </c>
      <c r="L384" s="19" t="s">
        <v>78</v>
      </c>
      <c r="M384" s="19" t="s">
        <v>78</v>
      </c>
      <c r="N384" s="19" t="s">
        <v>78</v>
      </c>
      <c r="O384" s="19" t="s">
        <v>78</v>
      </c>
      <c r="P384" s="19" t="s">
        <v>641</v>
      </c>
      <c r="Q384" s="19" t="s">
        <v>78</v>
      </c>
      <c r="R384" s="19" t="s">
        <v>78</v>
      </c>
      <c r="S384" s="20" t="s">
        <v>78</v>
      </c>
    </row>
    <row r="385" spans="1:19" x14ac:dyDescent="0.35">
      <c r="A385" s="82" t="s">
        <v>639</v>
      </c>
      <c r="B385" s="19">
        <v>1559720</v>
      </c>
      <c r="C385" s="19">
        <v>27280</v>
      </c>
      <c r="D385" s="19" t="s">
        <v>633</v>
      </c>
      <c r="E385" s="19" t="s">
        <v>439</v>
      </c>
      <c r="F385" s="19" t="s">
        <v>11</v>
      </c>
      <c r="G385" s="19" t="s">
        <v>282</v>
      </c>
      <c r="H385" s="19" t="s">
        <v>78</v>
      </c>
      <c r="I385" s="19" t="s">
        <v>78</v>
      </c>
      <c r="J385" s="19" t="s">
        <v>78</v>
      </c>
      <c r="K385" s="19" t="s">
        <v>78</v>
      </c>
      <c r="L385" s="19" t="s">
        <v>78</v>
      </c>
      <c r="M385" s="19" t="s">
        <v>78</v>
      </c>
      <c r="N385" s="19" t="s">
        <v>78</v>
      </c>
      <c r="O385" s="19" t="s">
        <v>78</v>
      </c>
      <c r="P385" s="19" t="s">
        <v>209</v>
      </c>
      <c r="Q385" s="19" t="s">
        <v>78</v>
      </c>
      <c r="R385" s="19" t="s">
        <v>78</v>
      </c>
      <c r="S385" s="20" t="s">
        <v>78</v>
      </c>
    </row>
    <row r="386" spans="1:19" x14ac:dyDescent="0.35">
      <c r="A386" s="82" t="s">
        <v>658</v>
      </c>
      <c r="B386" s="19">
        <v>82320</v>
      </c>
      <c r="C386" s="19">
        <v>20000</v>
      </c>
      <c r="D386" s="19" t="s">
        <v>633</v>
      </c>
      <c r="E386" s="19" t="s">
        <v>377</v>
      </c>
      <c r="F386" s="19" t="s">
        <v>83</v>
      </c>
      <c r="G386" s="19" t="s">
        <v>15</v>
      </c>
      <c r="H386" s="19" t="s">
        <v>78</v>
      </c>
      <c r="I386" s="19" t="s">
        <v>78</v>
      </c>
      <c r="J386" s="19" t="s">
        <v>78</v>
      </c>
      <c r="K386" s="19" t="s">
        <v>78</v>
      </c>
      <c r="L386" s="19" t="s">
        <v>78</v>
      </c>
      <c r="M386" s="19" t="s">
        <v>78</v>
      </c>
      <c r="N386" s="19" t="s">
        <v>78</v>
      </c>
      <c r="O386" s="19" t="s">
        <v>78</v>
      </c>
      <c r="P386" s="19" t="s">
        <v>212</v>
      </c>
      <c r="Q386" s="19" t="s">
        <v>78</v>
      </c>
      <c r="R386" s="19" t="s">
        <v>78</v>
      </c>
      <c r="S386" s="20" t="s">
        <v>78</v>
      </c>
    </row>
    <row r="387" spans="1:19" x14ac:dyDescent="0.35">
      <c r="A387" s="82" t="s">
        <v>638</v>
      </c>
      <c r="B387" s="19">
        <v>1613960</v>
      </c>
      <c r="C387" s="19">
        <v>13760</v>
      </c>
      <c r="D387" s="19" t="s">
        <v>633</v>
      </c>
      <c r="E387" s="19" t="s">
        <v>78</v>
      </c>
      <c r="F387" s="19" t="s">
        <v>13</v>
      </c>
      <c r="G387" s="19" t="s">
        <v>78</v>
      </c>
      <c r="H387" s="19" t="s">
        <v>78</v>
      </c>
      <c r="I387" s="19" t="s">
        <v>78</v>
      </c>
      <c r="J387" s="19" t="s">
        <v>78</v>
      </c>
      <c r="K387" s="19" t="s">
        <v>78</v>
      </c>
      <c r="L387" s="19" t="s">
        <v>78</v>
      </c>
      <c r="M387" s="19" t="s">
        <v>78</v>
      </c>
      <c r="N387" s="19" t="s">
        <v>78</v>
      </c>
      <c r="O387" s="19" t="s">
        <v>78</v>
      </c>
      <c r="P387" s="19" t="s">
        <v>78</v>
      </c>
      <c r="Q387" s="19" t="s">
        <v>78</v>
      </c>
      <c r="R387" s="19" t="s">
        <v>78</v>
      </c>
      <c r="S387" s="20" t="s">
        <v>78</v>
      </c>
    </row>
    <row r="388" spans="1:19" x14ac:dyDescent="0.35">
      <c r="A388" s="82" t="s">
        <v>637</v>
      </c>
      <c r="B388" s="19">
        <v>1628600</v>
      </c>
      <c r="C388" s="19">
        <v>21040</v>
      </c>
      <c r="D388" s="19" t="s">
        <v>633</v>
      </c>
      <c r="E388" s="19" t="s">
        <v>421</v>
      </c>
      <c r="F388" s="19" t="s">
        <v>10</v>
      </c>
      <c r="G388" s="19" t="s">
        <v>283</v>
      </c>
      <c r="H388" s="19" t="s">
        <v>78</v>
      </c>
      <c r="I388" s="19" t="s">
        <v>78</v>
      </c>
      <c r="J388" s="19" t="s">
        <v>78</v>
      </c>
      <c r="K388" s="19" t="s">
        <v>78</v>
      </c>
      <c r="L388" s="19" t="s">
        <v>78</v>
      </c>
      <c r="M388" s="19" t="s">
        <v>78</v>
      </c>
      <c r="N388" s="19" t="s">
        <v>78</v>
      </c>
      <c r="O388" s="19" t="s">
        <v>78</v>
      </c>
      <c r="P388" s="19" t="s">
        <v>78</v>
      </c>
      <c r="Q388" s="19" t="s">
        <v>78</v>
      </c>
      <c r="R388" s="19" t="s">
        <v>78</v>
      </c>
      <c r="S388" s="20" t="s">
        <v>78</v>
      </c>
    </row>
    <row r="389" spans="1:19" x14ac:dyDescent="0.35">
      <c r="A389" s="82" t="s">
        <v>636</v>
      </c>
      <c r="B389" s="19">
        <v>1697120</v>
      </c>
      <c r="C389" s="19">
        <v>16880</v>
      </c>
      <c r="D389" s="19" t="s">
        <v>633</v>
      </c>
      <c r="E389" s="19" t="s">
        <v>439</v>
      </c>
      <c r="F389" s="19" t="s">
        <v>79</v>
      </c>
      <c r="G389" s="19" t="s">
        <v>78</v>
      </c>
      <c r="H389" s="19" t="s">
        <v>78</v>
      </c>
      <c r="I389" s="19" t="s">
        <v>78</v>
      </c>
      <c r="J389" s="19" t="s">
        <v>78</v>
      </c>
      <c r="K389" s="19" t="s">
        <v>78</v>
      </c>
      <c r="L389" s="19" t="s">
        <v>78</v>
      </c>
      <c r="M389" s="19" t="s">
        <v>78</v>
      </c>
      <c r="N389" s="19" t="s">
        <v>78</v>
      </c>
      <c r="O389" s="19" t="s">
        <v>78</v>
      </c>
      <c r="P389" s="19" t="s">
        <v>78</v>
      </c>
      <c r="Q389" s="19" t="s">
        <v>78</v>
      </c>
      <c r="R389" s="19" t="s">
        <v>151</v>
      </c>
      <c r="S389" s="20" t="s">
        <v>78</v>
      </c>
    </row>
    <row r="390" spans="1:19" x14ac:dyDescent="0.35">
      <c r="A390" s="82" t="s">
        <v>635</v>
      </c>
      <c r="B390" s="19">
        <v>107120</v>
      </c>
      <c r="C390" s="19">
        <v>17680</v>
      </c>
      <c r="D390" s="19" t="s">
        <v>633</v>
      </c>
      <c r="E390" s="19" t="s">
        <v>421</v>
      </c>
      <c r="F390" s="19" t="s">
        <v>10</v>
      </c>
      <c r="G390" s="19" t="s">
        <v>282</v>
      </c>
      <c r="H390" s="19" t="s">
        <v>78</v>
      </c>
      <c r="I390" s="19" t="s">
        <v>78</v>
      </c>
      <c r="J390" s="19" t="s">
        <v>78</v>
      </c>
      <c r="K390" s="19" t="s">
        <v>78</v>
      </c>
      <c r="L390" s="19" t="s">
        <v>78</v>
      </c>
      <c r="M390" s="19" t="s">
        <v>78</v>
      </c>
      <c r="N390" s="19" t="s">
        <v>78</v>
      </c>
      <c r="O390" s="19" t="s">
        <v>78</v>
      </c>
      <c r="P390" s="19" t="s">
        <v>209</v>
      </c>
      <c r="Q390" s="19" t="s">
        <v>78</v>
      </c>
      <c r="R390" s="19" t="s">
        <v>78</v>
      </c>
      <c r="S390" s="20" t="s">
        <v>78</v>
      </c>
    </row>
    <row r="391" spans="1:19" x14ac:dyDescent="0.35">
      <c r="A391" s="82" t="s">
        <v>634</v>
      </c>
      <c r="B391" s="19">
        <v>243760</v>
      </c>
      <c r="C391" s="19">
        <v>7000</v>
      </c>
      <c r="D391" s="19" t="s">
        <v>633</v>
      </c>
      <c r="E391" s="19" t="s">
        <v>415</v>
      </c>
      <c r="F391" s="19" t="s">
        <v>79</v>
      </c>
      <c r="G391" s="19" t="s">
        <v>78</v>
      </c>
      <c r="H391" s="19" t="s">
        <v>78</v>
      </c>
      <c r="I391" s="19" t="s">
        <v>78</v>
      </c>
      <c r="J391" s="19" t="s">
        <v>78</v>
      </c>
      <c r="K391" s="19" t="s">
        <v>78</v>
      </c>
      <c r="L391" s="19" t="s">
        <v>78</v>
      </c>
      <c r="M391" s="19" t="s">
        <v>78</v>
      </c>
      <c r="N391" s="19" t="s">
        <v>78</v>
      </c>
      <c r="O391" s="19" t="s">
        <v>78</v>
      </c>
      <c r="P391" s="19" t="s">
        <v>78</v>
      </c>
      <c r="Q391" s="19" t="s">
        <v>78</v>
      </c>
      <c r="R391" s="19" t="s">
        <v>357</v>
      </c>
      <c r="S391" s="20" t="s">
        <v>78</v>
      </c>
    </row>
    <row r="392" spans="1:19" x14ac:dyDescent="0.35">
      <c r="A392" s="82" t="s">
        <v>632</v>
      </c>
      <c r="B392" s="19">
        <v>274120</v>
      </c>
      <c r="C392" s="19">
        <v>7000</v>
      </c>
      <c r="D392" s="19" t="s">
        <v>633</v>
      </c>
      <c r="E392" s="19" t="s">
        <v>421</v>
      </c>
      <c r="F392" s="19" t="s">
        <v>11</v>
      </c>
      <c r="G392" s="19" t="s">
        <v>297</v>
      </c>
      <c r="H392" s="19" t="s">
        <v>78</v>
      </c>
      <c r="I392" s="19" t="s">
        <v>78</v>
      </c>
      <c r="J392" s="19" t="s">
        <v>78</v>
      </c>
      <c r="K392" s="19" t="s">
        <v>78</v>
      </c>
      <c r="L392" s="19" t="s">
        <v>78</v>
      </c>
      <c r="M392" s="19" t="s">
        <v>78</v>
      </c>
      <c r="N392" s="19" t="s">
        <v>78</v>
      </c>
      <c r="O392" s="19" t="s">
        <v>78</v>
      </c>
      <c r="P392" s="19" t="s">
        <v>209</v>
      </c>
      <c r="Q392" s="19" t="s">
        <v>78</v>
      </c>
      <c r="R392" s="19" t="s">
        <v>78</v>
      </c>
      <c r="S392" s="20" t="s">
        <v>78</v>
      </c>
    </row>
    <row r="393" spans="1:19" x14ac:dyDescent="0.35">
      <c r="A393" s="82" t="s">
        <v>657</v>
      </c>
      <c r="B393" s="19">
        <v>205560</v>
      </c>
      <c r="C393" s="19">
        <v>17640</v>
      </c>
      <c r="D393" s="19" t="s">
        <v>633</v>
      </c>
      <c r="E393" s="19" t="s">
        <v>344</v>
      </c>
      <c r="F393" s="19" t="s">
        <v>10</v>
      </c>
      <c r="G393" s="19" t="s">
        <v>301</v>
      </c>
      <c r="H393" s="19" t="s">
        <v>78</v>
      </c>
      <c r="I393" s="19" t="s">
        <v>78</v>
      </c>
      <c r="J393" s="19" t="s">
        <v>78</v>
      </c>
      <c r="K393" s="19" t="s">
        <v>78</v>
      </c>
      <c r="L393" s="19" t="s">
        <v>78</v>
      </c>
      <c r="M393" s="19" t="s">
        <v>78</v>
      </c>
      <c r="N393" s="19" t="s">
        <v>78</v>
      </c>
      <c r="O393" s="19" t="s">
        <v>78</v>
      </c>
      <c r="P393" s="19" t="s">
        <v>641</v>
      </c>
      <c r="Q393" s="19" t="s">
        <v>78</v>
      </c>
      <c r="R393" s="19" t="s">
        <v>78</v>
      </c>
      <c r="S393" s="20" t="s">
        <v>78</v>
      </c>
    </row>
    <row r="394" spans="1:19" x14ac:dyDescent="0.35">
      <c r="A394" s="82" t="s">
        <v>656</v>
      </c>
      <c r="B394" s="19">
        <v>232480</v>
      </c>
      <c r="C394" s="19">
        <v>27520</v>
      </c>
      <c r="D394" s="19" t="s">
        <v>633</v>
      </c>
      <c r="E394" s="19" t="s">
        <v>344</v>
      </c>
      <c r="F394" s="19" t="s">
        <v>13</v>
      </c>
      <c r="G394" s="19" t="s">
        <v>78</v>
      </c>
      <c r="H394" s="19" t="s">
        <v>78</v>
      </c>
      <c r="I394" s="19" t="s">
        <v>78</v>
      </c>
      <c r="J394" s="19" t="s">
        <v>78</v>
      </c>
      <c r="K394" s="19" t="s">
        <v>78</v>
      </c>
      <c r="L394" s="19" t="s">
        <v>78</v>
      </c>
      <c r="M394" s="19" t="s">
        <v>78</v>
      </c>
      <c r="N394" s="19" t="s">
        <v>78</v>
      </c>
      <c r="O394" s="19" t="s">
        <v>78</v>
      </c>
      <c r="P394" s="19" t="s">
        <v>641</v>
      </c>
      <c r="Q394" s="19" t="s">
        <v>78</v>
      </c>
      <c r="R394" s="19" t="s">
        <v>78</v>
      </c>
      <c r="S394" s="20" t="s">
        <v>78</v>
      </c>
    </row>
    <row r="395" spans="1:19" x14ac:dyDescent="0.35">
      <c r="A395" s="82" t="s">
        <v>655</v>
      </c>
      <c r="B395" s="19">
        <v>263200</v>
      </c>
      <c r="C395" s="19">
        <v>11960</v>
      </c>
      <c r="D395" s="19" t="s">
        <v>633</v>
      </c>
      <c r="E395" s="19" t="s">
        <v>377</v>
      </c>
      <c r="F395" s="19" t="s">
        <v>11</v>
      </c>
      <c r="G395" s="19" t="s">
        <v>15</v>
      </c>
      <c r="H395" s="19" t="s">
        <v>78</v>
      </c>
      <c r="I395" s="19" t="s">
        <v>78</v>
      </c>
      <c r="J395" s="19" t="s">
        <v>78</v>
      </c>
      <c r="K395" s="19" t="s">
        <v>78</v>
      </c>
      <c r="L395" s="19" t="s">
        <v>78</v>
      </c>
      <c r="M395" s="19" t="s">
        <v>78</v>
      </c>
      <c r="N395" s="19" t="s">
        <v>78</v>
      </c>
      <c r="O395" s="19" t="s">
        <v>78</v>
      </c>
      <c r="P395" s="19" t="s">
        <v>648</v>
      </c>
      <c r="Q395" s="19" t="s">
        <v>78</v>
      </c>
      <c r="R395" s="19" t="s">
        <v>78</v>
      </c>
      <c r="S395" s="20" t="s">
        <v>78</v>
      </c>
    </row>
    <row r="396" spans="1:19" x14ac:dyDescent="0.35">
      <c r="A396" s="82" t="s">
        <v>654</v>
      </c>
      <c r="B396" s="19">
        <v>334960</v>
      </c>
      <c r="C396" s="19">
        <v>18800</v>
      </c>
      <c r="D396" s="19" t="s">
        <v>633</v>
      </c>
      <c r="E396" s="19" t="s">
        <v>344</v>
      </c>
      <c r="F396" s="19" t="s">
        <v>105</v>
      </c>
      <c r="G396" s="19" t="s">
        <v>78</v>
      </c>
      <c r="H396" s="19" t="s">
        <v>78</v>
      </c>
      <c r="I396" s="19" t="s">
        <v>78</v>
      </c>
      <c r="J396" s="19" t="s">
        <v>78</v>
      </c>
      <c r="K396" s="19" t="s">
        <v>78</v>
      </c>
      <c r="L396" s="19" t="s">
        <v>78</v>
      </c>
      <c r="M396" s="19" t="s">
        <v>78</v>
      </c>
      <c r="N396" s="19" t="s">
        <v>78</v>
      </c>
      <c r="O396" s="19" t="s">
        <v>78</v>
      </c>
      <c r="P396" s="19" t="s">
        <v>212</v>
      </c>
      <c r="Q396" s="19" t="s">
        <v>78</v>
      </c>
      <c r="R396" s="19" t="s">
        <v>78</v>
      </c>
      <c r="S396" s="20" t="s">
        <v>78</v>
      </c>
    </row>
    <row r="397" spans="1:19" x14ac:dyDescent="0.35">
      <c r="A397" s="82" t="s">
        <v>653</v>
      </c>
      <c r="B397" s="19">
        <v>1006560</v>
      </c>
      <c r="C397" s="19">
        <v>16040</v>
      </c>
      <c r="D397" s="19" t="s">
        <v>633</v>
      </c>
      <c r="E397" s="19" t="s">
        <v>346</v>
      </c>
      <c r="F397" s="19" t="s">
        <v>13</v>
      </c>
      <c r="G397" s="19" t="s">
        <v>78</v>
      </c>
      <c r="H397" s="19" t="s">
        <v>78</v>
      </c>
      <c r="I397" s="19" t="s">
        <v>78</v>
      </c>
      <c r="J397" s="19" t="s">
        <v>78</v>
      </c>
      <c r="K397" s="19" t="s">
        <v>78</v>
      </c>
      <c r="L397" s="19" t="s">
        <v>78</v>
      </c>
      <c r="M397" s="19" t="s">
        <v>78</v>
      </c>
      <c r="N397" s="19" t="s">
        <v>78</v>
      </c>
      <c r="O397" s="19" t="s">
        <v>78</v>
      </c>
      <c r="P397" s="19" t="s">
        <v>641</v>
      </c>
      <c r="Q397" s="19" t="s">
        <v>78</v>
      </c>
      <c r="R397" s="19" t="s">
        <v>78</v>
      </c>
      <c r="S397" s="20" t="s">
        <v>78</v>
      </c>
    </row>
    <row r="398" spans="1:19" x14ac:dyDescent="0.35">
      <c r="A398" s="82" t="s">
        <v>652</v>
      </c>
      <c r="B398" s="19">
        <v>1027840</v>
      </c>
      <c r="C398" s="19">
        <v>10760</v>
      </c>
      <c r="D398" s="19" t="s">
        <v>633</v>
      </c>
      <c r="E398" s="19" t="s">
        <v>344</v>
      </c>
      <c r="F398" s="19" t="s">
        <v>11</v>
      </c>
      <c r="G398" s="19" t="s">
        <v>306</v>
      </c>
      <c r="H398" s="19" t="s">
        <v>78</v>
      </c>
      <c r="I398" s="19" t="s">
        <v>78</v>
      </c>
      <c r="J398" s="19" t="s">
        <v>78</v>
      </c>
      <c r="K398" s="19" t="s">
        <v>78</v>
      </c>
      <c r="L398" s="19" t="s">
        <v>78</v>
      </c>
      <c r="M398" s="19" t="s">
        <v>78</v>
      </c>
      <c r="N398" s="19" t="s">
        <v>78</v>
      </c>
      <c r="O398" s="19" t="s">
        <v>78</v>
      </c>
      <c r="P398" s="19" t="s">
        <v>648</v>
      </c>
      <c r="Q398" s="19" t="s">
        <v>78</v>
      </c>
      <c r="R398" s="19" t="s">
        <v>78</v>
      </c>
      <c r="S398" s="20" t="s">
        <v>78</v>
      </c>
    </row>
    <row r="399" spans="1:19" x14ac:dyDescent="0.35">
      <c r="A399" s="82" t="s">
        <v>651</v>
      </c>
      <c r="B399" s="19">
        <v>1083680</v>
      </c>
      <c r="C399" s="19">
        <v>21560</v>
      </c>
      <c r="D399" s="19" t="s">
        <v>633</v>
      </c>
      <c r="E399" s="19" t="s">
        <v>415</v>
      </c>
      <c r="F399" s="19" t="s">
        <v>13</v>
      </c>
      <c r="G399" s="19" t="s">
        <v>78</v>
      </c>
      <c r="H399" s="19" t="s">
        <v>78</v>
      </c>
      <c r="I399" s="19" t="s">
        <v>78</v>
      </c>
      <c r="J399" s="19" t="s">
        <v>78</v>
      </c>
      <c r="K399" s="19" t="s">
        <v>78</v>
      </c>
      <c r="L399" s="19" t="s">
        <v>78</v>
      </c>
      <c r="M399" s="19" t="s">
        <v>78</v>
      </c>
      <c r="N399" s="19" t="s">
        <v>78</v>
      </c>
      <c r="O399" s="19" t="s">
        <v>78</v>
      </c>
      <c r="P399" s="19" t="s">
        <v>641</v>
      </c>
      <c r="Q399" s="19" t="s">
        <v>78</v>
      </c>
      <c r="R399" s="19" t="s">
        <v>78</v>
      </c>
      <c r="S399" s="20" t="s">
        <v>78</v>
      </c>
    </row>
    <row r="400" spans="1:19" x14ac:dyDescent="0.35">
      <c r="A400" s="82" t="s">
        <v>121</v>
      </c>
      <c r="B400" s="19">
        <v>224280</v>
      </c>
      <c r="C400" s="19">
        <v>14880</v>
      </c>
      <c r="D400" s="19" t="s">
        <v>122</v>
      </c>
      <c r="E400" s="19" t="s">
        <v>421</v>
      </c>
      <c r="F400" s="19" t="s">
        <v>79</v>
      </c>
      <c r="G400" s="19" t="s">
        <v>78</v>
      </c>
      <c r="H400" s="19" t="s">
        <v>78</v>
      </c>
      <c r="I400" s="19" t="s">
        <v>78</v>
      </c>
      <c r="J400" s="19" t="s">
        <v>78</v>
      </c>
      <c r="K400" s="19" t="s">
        <v>78</v>
      </c>
      <c r="L400" s="19" t="s">
        <v>78</v>
      </c>
      <c r="M400" s="19" t="s">
        <v>78</v>
      </c>
      <c r="N400" s="19" t="s">
        <v>78</v>
      </c>
      <c r="O400" s="19"/>
      <c r="P400" s="19" t="s">
        <v>78</v>
      </c>
      <c r="Q400" s="19" t="s">
        <v>78</v>
      </c>
      <c r="R400" s="19" t="s">
        <v>315</v>
      </c>
      <c r="S400" s="20" t="s">
        <v>78</v>
      </c>
    </row>
    <row r="401" spans="1:19" x14ac:dyDescent="0.35">
      <c r="A401" s="82" t="s">
        <v>121</v>
      </c>
      <c r="B401" s="19">
        <v>886960</v>
      </c>
      <c r="C401" s="19">
        <v>16080</v>
      </c>
      <c r="D401" s="19" t="s">
        <v>122</v>
      </c>
      <c r="E401" s="19" t="s">
        <v>78</v>
      </c>
      <c r="F401" s="19" t="s">
        <v>13</v>
      </c>
      <c r="G401" s="19" t="s">
        <v>78</v>
      </c>
      <c r="H401" s="19" t="s">
        <v>78</v>
      </c>
      <c r="I401" s="19" t="s">
        <v>78</v>
      </c>
      <c r="J401" s="19" t="s">
        <v>78</v>
      </c>
      <c r="K401" s="19" t="s">
        <v>78</v>
      </c>
      <c r="L401" s="19" t="s">
        <v>78</v>
      </c>
      <c r="M401" s="19" t="s">
        <v>78</v>
      </c>
      <c r="N401" s="19" t="s">
        <v>78</v>
      </c>
      <c r="O401" s="19"/>
      <c r="P401" s="19" t="s">
        <v>78</v>
      </c>
      <c r="Q401" s="19" t="s">
        <v>78</v>
      </c>
      <c r="R401" s="19" t="s">
        <v>78</v>
      </c>
      <c r="S401" s="20" t="s">
        <v>78</v>
      </c>
    </row>
    <row r="402" spans="1:19" x14ac:dyDescent="0.35">
      <c r="A402" s="82" t="s">
        <v>121</v>
      </c>
      <c r="B402" s="19">
        <v>1324280</v>
      </c>
      <c r="C402" s="19">
        <v>7000</v>
      </c>
      <c r="D402" s="19" t="s">
        <v>122</v>
      </c>
      <c r="E402" s="19" t="s">
        <v>344</v>
      </c>
      <c r="F402" s="19" t="s">
        <v>79</v>
      </c>
      <c r="G402" s="19" t="s">
        <v>78</v>
      </c>
      <c r="H402" s="19" t="s">
        <v>78</v>
      </c>
      <c r="I402" s="19" t="s">
        <v>78</v>
      </c>
      <c r="J402" s="19" t="s">
        <v>78</v>
      </c>
      <c r="K402" s="19" t="s">
        <v>78</v>
      </c>
      <c r="L402" s="19" t="s">
        <v>78</v>
      </c>
      <c r="M402" s="19" t="s">
        <v>78</v>
      </c>
      <c r="N402" s="19" t="s">
        <v>78</v>
      </c>
      <c r="O402" s="19"/>
      <c r="P402" s="19" t="s">
        <v>78</v>
      </c>
      <c r="Q402" s="19" t="s">
        <v>78</v>
      </c>
      <c r="R402" s="19" t="s">
        <v>314</v>
      </c>
      <c r="S402" s="20" t="s">
        <v>78</v>
      </c>
    </row>
    <row r="403" spans="1:19" x14ac:dyDescent="0.35">
      <c r="A403" s="82" t="s">
        <v>121</v>
      </c>
      <c r="B403" s="19">
        <v>765440</v>
      </c>
      <c r="C403" s="19">
        <v>13680</v>
      </c>
      <c r="D403" s="19" t="s">
        <v>122</v>
      </c>
      <c r="E403" s="19" t="s">
        <v>347</v>
      </c>
      <c r="F403" s="19" t="s">
        <v>11</v>
      </c>
      <c r="G403" s="19" t="s">
        <v>17</v>
      </c>
      <c r="H403" s="19" t="s">
        <v>78</v>
      </c>
      <c r="I403" s="19" t="s">
        <v>78</v>
      </c>
      <c r="J403" s="19" t="s">
        <v>78</v>
      </c>
      <c r="K403" s="19" t="s">
        <v>78</v>
      </c>
      <c r="L403" s="19" t="s">
        <v>78</v>
      </c>
      <c r="M403" s="19" t="s">
        <v>78</v>
      </c>
      <c r="N403" s="19" t="s">
        <v>78</v>
      </c>
      <c r="O403" s="19" t="s">
        <v>416</v>
      </c>
      <c r="P403" s="19" t="s">
        <v>78</v>
      </c>
      <c r="Q403" s="19" t="s">
        <v>78</v>
      </c>
      <c r="R403" s="19" t="s">
        <v>78</v>
      </c>
      <c r="S403" s="20" t="s">
        <v>78</v>
      </c>
    </row>
    <row r="404" spans="1:19" x14ac:dyDescent="0.35">
      <c r="A404" s="81" t="s">
        <v>228</v>
      </c>
      <c r="B404" s="17">
        <v>306160</v>
      </c>
      <c r="C404" s="17">
        <v>19480</v>
      </c>
      <c r="D404" s="17" t="s">
        <v>122</v>
      </c>
      <c r="E404" s="17" t="s">
        <v>422</v>
      </c>
      <c r="F404" s="17" t="s">
        <v>83</v>
      </c>
      <c r="G404" s="17" t="s">
        <v>15</v>
      </c>
      <c r="H404" s="17" t="s">
        <v>78</v>
      </c>
      <c r="I404" s="17" t="s">
        <v>78</v>
      </c>
      <c r="J404" s="17" t="s">
        <v>78</v>
      </c>
      <c r="K404" s="17" t="s">
        <v>78</v>
      </c>
      <c r="L404" s="17" t="s">
        <v>78</v>
      </c>
      <c r="M404" s="17" t="s">
        <v>78</v>
      </c>
      <c r="N404" s="17" t="s">
        <v>78</v>
      </c>
      <c r="O404" s="17"/>
      <c r="P404" s="17" t="s">
        <v>416</v>
      </c>
      <c r="Q404" s="17" t="s">
        <v>78</v>
      </c>
      <c r="R404" s="17" t="s">
        <v>78</v>
      </c>
      <c r="S404" s="18" t="s">
        <v>78</v>
      </c>
    </row>
    <row r="405" spans="1:19" x14ac:dyDescent="0.35">
      <c r="A405" s="81" t="s">
        <v>228</v>
      </c>
      <c r="B405" s="17">
        <v>899680</v>
      </c>
      <c r="C405" s="17">
        <v>14400</v>
      </c>
      <c r="D405" s="17" t="s">
        <v>122</v>
      </c>
      <c r="E405" s="17" t="s">
        <v>348</v>
      </c>
      <c r="F405" s="17" t="s">
        <v>11</v>
      </c>
      <c r="G405" s="17" t="s">
        <v>17</v>
      </c>
      <c r="H405" s="17" t="s">
        <v>78</v>
      </c>
      <c r="I405" s="17" t="s">
        <v>78</v>
      </c>
      <c r="J405" s="17" t="s">
        <v>78</v>
      </c>
      <c r="K405" s="17" t="s">
        <v>78</v>
      </c>
      <c r="L405" s="17" t="s">
        <v>78</v>
      </c>
      <c r="M405" s="17" t="s">
        <v>78</v>
      </c>
      <c r="N405" s="17" t="s">
        <v>78</v>
      </c>
      <c r="O405" s="17"/>
      <c r="P405" s="17" t="s">
        <v>416</v>
      </c>
      <c r="Q405" s="17" t="s">
        <v>78</v>
      </c>
      <c r="R405" s="17" t="s">
        <v>78</v>
      </c>
      <c r="S405" s="18" t="s">
        <v>78</v>
      </c>
    </row>
    <row r="406" spans="1:19" x14ac:dyDescent="0.35">
      <c r="A406" s="82" t="s">
        <v>228</v>
      </c>
      <c r="B406" s="19">
        <v>1741640</v>
      </c>
      <c r="C406" s="19">
        <v>21400</v>
      </c>
      <c r="D406" s="19" t="s">
        <v>122</v>
      </c>
      <c r="E406" s="19" t="s">
        <v>346</v>
      </c>
      <c r="F406" s="19" t="s">
        <v>11</v>
      </c>
      <c r="G406" s="19" t="s">
        <v>297</v>
      </c>
      <c r="H406" s="19" t="s">
        <v>78</v>
      </c>
      <c r="I406" s="19" t="s">
        <v>78</v>
      </c>
      <c r="J406" s="19" t="s">
        <v>78</v>
      </c>
      <c r="K406" s="19" t="s">
        <v>78</v>
      </c>
      <c r="L406" s="19" t="s">
        <v>78</v>
      </c>
      <c r="M406" s="19" t="s">
        <v>78</v>
      </c>
      <c r="N406" s="19" t="s">
        <v>78</v>
      </c>
      <c r="O406" s="19"/>
      <c r="P406" s="19" t="s">
        <v>416</v>
      </c>
      <c r="Q406" s="19" t="s">
        <v>78</v>
      </c>
      <c r="R406" s="19" t="s">
        <v>78</v>
      </c>
      <c r="S406" s="20" t="s">
        <v>78</v>
      </c>
    </row>
    <row r="407" spans="1:19" x14ac:dyDescent="0.35">
      <c r="A407" s="82" t="s">
        <v>228</v>
      </c>
      <c r="B407" s="19">
        <v>826440</v>
      </c>
      <c r="C407" s="19">
        <v>7000</v>
      </c>
      <c r="D407" s="19" t="s">
        <v>122</v>
      </c>
      <c r="E407" s="19" t="s">
        <v>346</v>
      </c>
      <c r="F407" s="19" t="s">
        <v>105</v>
      </c>
      <c r="G407" s="19" t="s">
        <v>78</v>
      </c>
      <c r="H407" s="19" t="s">
        <v>78</v>
      </c>
      <c r="I407" s="19" t="s">
        <v>78</v>
      </c>
      <c r="J407" s="19" t="s">
        <v>78</v>
      </c>
      <c r="K407" s="19" t="s">
        <v>78</v>
      </c>
      <c r="L407" s="19" t="s">
        <v>78</v>
      </c>
      <c r="M407" s="19" t="s">
        <v>78</v>
      </c>
      <c r="N407" s="19" t="s">
        <v>78</v>
      </c>
      <c r="O407" s="19" t="s">
        <v>209</v>
      </c>
      <c r="P407" s="19" t="s">
        <v>78</v>
      </c>
      <c r="Q407" s="19" t="s">
        <v>78</v>
      </c>
      <c r="R407" s="19" t="s">
        <v>78</v>
      </c>
      <c r="S407" s="20" t="s">
        <v>78</v>
      </c>
    </row>
    <row r="408" spans="1:19" x14ac:dyDescent="0.35">
      <c r="A408" s="82" t="s">
        <v>574</v>
      </c>
      <c r="B408" s="19">
        <v>1817680</v>
      </c>
      <c r="C408" s="19">
        <v>20360</v>
      </c>
      <c r="D408" s="19" t="s">
        <v>122</v>
      </c>
      <c r="E408" s="19" t="s">
        <v>377</v>
      </c>
      <c r="F408" s="19" t="s">
        <v>11</v>
      </c>
      <c r="G408" s="19" t="s">
        <v>15</v>
      </c>
      <c r="H408" s="19" t="s">
        <v>78</v>
      </c>
      <c r="I408" s="19" t="s">
        <v>78</v>
      </c>
      <c r="J408" s="19" t="s">
        <v>78</v>
      </c>
      <c r="K408" s="19" t="s">
        <v>78</v>
      </c>
      <c r="L408" s="19" t="s">
        <v>78</v>
      </c>
      <c r="M408" s="19" t="s">
        <v>78</v>
      </c>
      <c r="N408" s="19" t="s">
        <v>78</v>
      </c>
      <c r="O408" s="19"/>
      <c r="P408" s="19" t="s">
        <v>416</v>
      </c>
      <c r="Q408" s="19" t="s">
        <v>78</v>
      </c>
      <c r="R408" s="19" t="s">
        <v>78</v>
      </c>
      <c r="S408" s="20" t="s">
        <v>78</v>
      </c>
    </row>
    <row r="409" spans="1:19" x14ac:dyDescent="0.35">
      <c r="A409" s="82" t="s">
        <v>574</v>
      </c>
      <c r="B409" s="19">
        <v>1895880</v>
      </c>
      <c r="C409" s="19">
        <v>7000</v>
      </c>
      <c r="D409" s="19" t="s">
        <v>122</v>
      </c>
      <c r="E409" s="19" t="s">
        <v>346</v>
      </c>
      <c r="F409" s="19" t="s">
        <v>79</v>
      </c>
      <c r="G409" s="19" t="s">
        <v>78</v>
      </c>
      <c r="H409" s="19" t="s">
        <v>78</v>
      </c>
      <c r="I409" s="19" t="s">
        <v>78</v>
      </c>
      <c r="J409" s="19" t="s">
        <v>78</v>
      </c>
      <c r="K409" s="19" t="s">
        <v>78</v>
      </c>
      <c r="L409" s="19" t="s">
        <v>78</v>
      </c>
      <c r="M409" s="19" t="s">
        <v>78</v>
      </c>
      <c r="N409" s="19" t="s">
        <v>78</v>
      </c>
      <c r="O409" s="19"/>
      <c r="P409" s="19" t="s">
        <v>78</v>
      </c>
      <c r="Q409" s="19" t="s">
        <v>78</v>
      </c>
      <c r="R409" s="19" t="s">
        <v>507</v>
      </c>
      <c r="S409" s="20" t="s">
        <v>78</v>
      </c>
    </row>
    <row r="410" spans="1:19" x14ac:dyDescent="0.35">
      <c r="A410" s="82" t="s">
        <v>575</v>
      </c>
      <c r="B410" s="19">
        <v>1904520</v>
      </c>
      <c r="C410" s="19">
        <v>14760</v>
      </c>
      <c r="D410" s="19" t="s">
        <v>122</v>
      </c>
      <c r="E410" s="19" t="s">
        <v>562</v>
      </c>
      <c r="F410" s="19" t="s">
        <v>11</v>
      </c>
      <c r="G410" s="19" t="s">
        <v>298</v>
      </c>
      <c r="H410" s="19" t="s">
        <v>78</v>
      </c>
      <c r="I410" s="19" t="s">
        <v>78</v>
      </c>
      <c r="J410" s="19" t="s">
        <v>78</v>
      </c>
      <c r="K410" s="19" t="s">
        <v>78</v>
      </c>
      <c r="L410" s="19" t="s">
        <v>78</v>
      </c>
      <c r="M410" s="19" t="s">
        <v>78</v>
      </c>
      <c r="N410" s="19" t="s">
        <v>78</v>
      </c>
      <c r="O410" s="19"/>
      <c r="P410" s="19" t="s">
        <v>576</v>
      </c>
      <c r="Q410" s="19" t="s">
        <v>78</v>
      </c>
      <c r="R410" s="19" t="s">
        <v>78</v>
      </c>
      <c r="S410" s="20" t="s">
        <v>78</v>
      </c>
    </row>
    <row r="411" spans="1:19" x14ac:dyDescent="0.35">
      <c r="A411" s="82" t="s">
        <v>597</v>
      </c>
      <c r="B411" s="19">
        <v>2040320</v>
      </c>
      <c r="C411" s="19">
        <v>20000</v>
      </c>
      <c r="D411" s="19" t="s">
        <v>598</v>
      </c>
      <c r="E411" s="19" t="s">
        <v>377</v>
      </c>
      <c r="F411" s="19" t="s">
        <v>83</v>
      </c>
      <c r="G411" s="19" t="s">
        <v>15</v>
      </c>
      <c r="H411" s="19" t="s">
        <v>78</v>
      </c>
      <c r="I411" s="19" t="s">
        <v>78</v>
      </c>
      <c r="J411" s="19" t="s">
        <v>78</v>
      </c>
      <c r="K411" s="19" t="s">
        <v>78</v>
      </c>
      <c r="L411" s="19" t="s">
        <v>78</v>
      </c>
      <c r="M411" s="19" t="s">
        <v>78</v>
      </c>
      <c r="N411" s="19" t="s">
        <v>78</v>
      </c>
      <c r="O411" s="19"/>
      <c r="P411" s="19" t="s">
        <v>78</v>
      </c>
      <c r="Q411" s="19" t="s">
        <v>78</v>
      </c>
      <c r="R411" s="19" t="s">
        <v>78</v>
      </c>
      <c r="S411" s="20" t="s">
        <v>78</v>
      </c>
    </row>
    <row r="412" spans="1:19" x14ac:dyDescent="0.35">
      <c r="A412" s="82" t="s">
        <v>599</v>
      </c>
      <c r="B412" s="19">
        <v>1836720</v>
      </c>
      <c r="C412" s="19">
        <v>7000</v>
      </c>
      <c r="D412" s="19" t="s">
        <v>600</v>
      </c>
      <c r="E412" s="19" t="s">
        <v>348</v>
      </c>
      <c r="F412" s="19" t="s">
        <v>83</v>
      </c>
      <c r="G412" s="19" t="s">
        <v>17</v>
      </c>
      <c r="H412" s="19" t="s">
        <v>78</v>
      </c>
      <c r="I412" s="19" t="s">
        <v>78</v>
      </c>
      <c r="J412" s="19" t="s">
        <v>78</v>
      </c>
      <c r="K412" s="19" t="s">
        <v>78</v>
      </c>
      <c r="L412" s="19" t="s">
        <v>78</v>
      </c>
      <c r="M412" s="19" t="s">
        <v>78</v>
      </c>
      <c r="N412" s="19" t="s">
        <v>78</v>
      </c>
      <c r="O412" s="19"/>
      <c r="P412" s="19" t="s">
        <v>78</v>
      </c>
      <c r="Q412" s="19" t="s">
        <v>78</v>
      </c>
      <c r="R412" s="19" t="s">
        <v>78</v>
      </c>
      <c r="S412" s="20" t="s">
        <v>78</v>
      </c>
    </row>
    <row r="413" spans="1:19" x14ac:dyDescent="0.35">
      <c r="A413" s="82" t="s">
        <v>522</v>
      </c>
      <c r="B413" s="19">
        <v>286080</v>
      </c>
      <c r="C413" s="19">
        <v>15440</v>
      </c>
      <c r="D413" s="19" t="s">
        <v>78</v>
      </c>
      <c r="E413" s="19" t="s">
        <v>413</v>
      </c>
      <c r="F413" s="19" t="s">
        <v>11</v>
      </c>
      <c r="G413" s="19" t="s">
        <v>17</v>
      </c>
      <c r="H413" s="19" t="s">
        <v>209</v>
      </c>
      <c r="I413" s="19" t="s">
        <v>78</v>
      </c>
      <c r="J413" s="19" t="s">
        <v>78</v>
      </c>
      <c r="K413" s="19" t="s">
        <v>78</v>
      </c>
      <c r="L413" s="19" t="s">
        <v>78</v>
      </c>
      <c r="M413" s="19" t="s">
        <v>78</v>
      </c>
      <c r="N413" s="19" t="s">
        <v>78</v>
      </c>
      <c r="O413" s="19"/>
      <c r="P413" s="19" t="s">
        <v>78</v>
      </c>
      <c r="Q413" s="19" t="s">
        <v>78</v>
      </c>
      <c r="R413" s="19" t="s">
        <v>78</v>
      </c>
      <c r="S413" s="20" t="s">
        <v>78</v>
      </c>
    </row>
    <row r="414" spans="1:19" x14ac:dyDescent="0.35">
      <c r="A414" s="81" t="s">
        <v>521</v>
      </c>
      <c r="B414" s="17">
        <v>347400</v>
      </c>
      <c r="C414" s="17">
        <v>12040</v>
      </c>
      <c r="D414" s="17" t="s">
        <v>78</v>
      </c>
      <c r="E414" s="17" t="s">
        <v>413</v>
      </c>
      <c r="F414" s="17" t="s">
        <v>10</v>
      </c>
      <c r="G414" s="17" t="s">
        <v>309</v>
      </c>
      <c r="H414" s="17" t="s">
        <v>209</v>
      </c>
      <c r="I414" s="17" t="s">
        <v>78</v>
      </c>
      <c r="J414" s="17" t="s">
        <v>78</v>
      </c>
      <c r="K414" s="17" t="s">
        <v>78</v>
      </c>
      <c r="L414" s="17" t="s">
        <v>78</v>
      </c>
      <c r="M414" s="17" t="s">
        <v>78</v>
      </c>
      <c r="N414" s="17" t="s">
        <v>78</v>
      </c>
      <c r="O414" s="17"/>
      <c r="P414" s="17" t="s">
        <v>78</v>
      </c>
      <c r="Q414" s="17" t="s">
        <v>78</v>
      </c>
      <c r="R414" s="17" t="s">
        <v>78</v>
      </c>
      <c r="S414" s="18" t="s">
        <v>78</v>
      </c>
    </row>
    <row r="415" spans="1:19" x14ac:dyDescent="0.35">
      <c r="A415" s="82" t="s">
        <v>493</v>
      </c>
      <c r="B415" s="19">
        <v>1593080</v>
      </c>
      <c r="C415" s="19">
        <v>17000</v>
      </c>
      <c r="D415" s="19" t="s">
        <v>78</v>
      </c>
      <c r="E415" s="19" t="s">
        <v>413</v>
      </c>
      <c r="F415" s="19" t="s">
        <v>10</v>
      </c>
      <c r="G415" s="19" t="s">
        <v>22</v>
      </c>
      <c r="H415" s="19" t="s">
        <v>78</v>
      </c>
      <c r="I415" s="19" t="s">
        <v>22</v>
      </c>
      <c r="J415" s="19" t="s">
        <v>78</v>
      </c>
      <c r="K415" s="19" t="s">
        <v>78</v>
      </c>
      <c r="L415" s="19" t="s">
        <v>78</v>
      </c>
      <c r="M415" s="19" t="s">
        <v>78</v>
      </c>
      <c r="N415" s="19" t="s">
        <v>78</v>
      </c>
      <c r="O415" s="19"/>
      <c r="P415" s="19" t="s">
        <v>78</v>
      </c>
      <c r="Q415" s="19" t="s">
        <v>78</v>
      </c>
      <c r="R415" s="19" t="s">
        <v>78</v>
      </c>
      <c r="S415" s="20" t="s">
        <v>78</v>
      </c>
    </row>
    <row r="416" spans="1:19" x14ac:dyDescent="0.35">
      <c r="A416" s="82" t="s">
        <v>493</v>
      </c>
      <c r="B416" s="19">
        <v>756400</v>
      </c>
      <c r="C416" s="19">
        <v>17000</v>
      </c>
      <c r="D416" s="19" t="s">
        <v>78</v>
      </c>
      <c r="E416" s="19" t="s">
        <v>343</v>
      </c>
      <c r="F416" s="19" t="s">
        <v>11</v>
      </c>
      <c r="G416" s="19" t="s">
        <v>22</v>
      </c>
      <c r="H416" s="19" t="s">
        <v>78</v>
      </c>
      <c r="I416" s="19" t="s">
        <v>22</v>
      </c>
      <c r="J416" s="19" t="s">
        <v>78</v>
      </c>
      <c r="K416" s="19" t="s">
        <v>78</v>
      </c>
      <c r="L416" s="19" t="s">
        <v>78</v>
      </c>
      <c r="M416" s="19" t="s">
        <v>78</v>
      </c>
      <c r="N416" s="19" t="s">
        <v>78</v>
      </c>
      <c r="O416" s="19" t="s">
        <v>78</v>
      </c>
      <c r="P416" s="19" t="s">
        <v>78</v>
      </c>
      <c r="Q416" s="19" t="s">
        <v>78</v>
      </c>
      <c r="R416" s="19" t="s">
        <v>78</v>
      </c>
      <c r="S416" s="20" t="s">
        <v>78</v>
      </c>
    </row>
    <row r="417" spans="1:19" x14ac:dyDescent="0.35">
      <c r="A417" s="81" t="s">
        <v>123</v>
      </c>
      <c r="B417" s="17">
        <v>1339160</v>
      </c>
      <c r="C417" s="17">
        <v>17000</v>
      </c>
      <c r="D417" s="17" t="s">
        <v>78</v>
      </c>
      <c r="E417" s="17" t="s">
        <v>422</v>
      </c>
      <c r="F417" s="17" t="s">
        <v>83</v>
      </c>
      <c r="G417" s="17" t="s">
        <v>12</v>
      </c>
      <c r="H417" s="17" t="s">
        <v>78</v>
      </c>
      <c r="I417" s="17" t="s">
        <v>12</v>
      </c>
      <c r="J417" s="17" t="s">
        <v>78</v>
      </c>
      <c r="K417" s="17" t="s">
        <v>78</v>
      </c>
      <c r="L417" s="17" t="s">
        <v>78</v>
      </c>
      <c r="M417" s="17" t="s">
        <v>78</v>
      </c>
      <c r="N417" s="17" t="s">
        <v>78</v>
      </c>
      <c r="O417" s="17"/>
      <c r="P417" s="17" t="s">
        <v>78</v>
      </c>
      <c r="Q417" s="17" t="s">
        <v>78</v>
      </c>
      <c r="R417" s="17" t="s">
        <v>78</v>
      </c>
      <c r="S417" s="18" t="s">
        <v>78</v>
      </c>
    </row>
    <row r="418" spans="1:19" x14ac:dyDescent="0.35">
      <c r="A418" s="81" t="s">
        <v>123</v>
      </c>
      <c r="B418" s="17">
        <v>467480</v>
      </c>
      <c r="C418" s="17">
        <v>21360</v>
      </c>
      <c r="D418" s="17" t="s">
        <v>78</v>
      </c>
      <c r="E418" s="17" t="s">
        <v>422</v>
      </c>
      <c r="F418" s="17" t="s">
        <v>11</v>
      </c>
      <c r="G418" s="17" t="s">
        <v>12</v>
      </c>
      <c r="H418" s="17" t="s">
        <v>78</v>
      </c>
      <c r="I418" s="17" t="s">
        <v>12</v>
      </c>
      <c r="J418" s="17" t="s">
        <v>78</v>
      </c>
      <c r="K418" s="17" t="s">
        <v>78</v>
      </c>
      <c r="L418" s="17" t="s">
        <v>78</v>
      </c>
      <c r="M418" s="17" t="s">
        <v>78</v>
      </c>
      <c r="N418" s="17" t="s">
        <v>78</v>
      </c>
      <c r="O418" s="17"/>
      <c r="P418" s="17" t="s">
        <v>78</v>
      </c>
      <c r="Q418" s="17" t="s">
        <v>78</v>
      </c>
      <c r="R418" s="17" t="s">
        <v>78</v>
      </c>
      <c r="S418" s="18" t="s">
        <v>78</v>
      </c>
    </row>
    <row r="419" spans="1:19" x14ac:dyDescent="0.35">
      <c r="A419" s="81" t="s">
        <v>123</v>
      </c>
      <c r="B419" s="17">
        <v>600040</v>
      </c>
      <c r="C419" s="17">
        <v>17280</v>
      </c>
      <c r="D419" s="17" t="s">
        <v>78</v>
      </c>
      <c r="E419" s="17" t="s">
        <v>346</v>
      </c>
      <c r="F419" s="17" t="s">
        <v>79</v>
      </c>
      <c r="G419" s="17" t="s">
        <v>78</v>
      </c>
      <c r="H419" s="17" t="s">
        <v>78</v>
      </c>
      <c r="I419" s="17" t="s">
        <v>12</v>
      </c>
      <c r="J419" s="17" t="s">
        <v>78</v>
      </c>
      <c r="K419" s="17" t="s">
        <v>78</v>
      </c>
      <c r="L419" s="17" t="s">
        <v>78</v>
      </c>
      <c r="M419" s="17" t="s">
        <v>78</v>
      </c>
      <c r="N419" s="17" t="s">
        <v>78</v>
      </c>
      <c r="O419" s="17"/>
      <c r="P419" s="17" t="s">
        <v>78</v>
      </c>
      <c r="Q419" s="17" t="s">
        <v>78</v>
      </c>
      <c r="R419" s="17" t="s">
        <v>218</v>
      </c>
      <c r="S419" s="18" t="s">
        <v>78</v>
      </c>
    </row>
    <row r="420" spans="1:19" x14ac:dyDescent="0.35">
      <c r="A420" s="82" t="s">
        <v>123</v>
      </c>
      <c r="B420" s="19">
        <v>184080</v>
      </c>
      <c r="C420" s="19">
        <v>17000</v>
      </c>
      <c r="D420" s="19" t="s">
        <v>78</v>
      </c>
      <c r="E420" s="19" t="s">
        <v>413</v>
      </c>
      <c r="F420" s="19" t="s">
        <v>79</v>
      </c>
      <c r="G420" s="19" t="s">
        <v>78</v>
      </c>
      <c r="H420" s="19" t="s">
        <v>78</v>
      </c>
      <c r="I420" s="19" t="s">
        <v>12</v>
      </c>
      <c r="J420" s="19" t="s">
        <v>78</v>
      </c>
      <c r="K420" s="19" t="s">
        <v>78</v>
      </c>
      <c r="L420" s="19" t="s">
        <v>78</v>
      </c>
      <c r="M420" s="19" t="s">
        <v>78</v>
      </c>
      <c r="N420" s="19" t="s">
        <v>78</v>
      </c>
      <c r="O420" s="19"/>
      <c r="P420" s="19" t="s">
        <v>78</v>
      </c>
      <c r="Q420" s="19" t="s">
        <v>78</v>
      </c>
      <c r="R420" s="19" t="s">
        <v>218</v>
      </c>
      <c r="S420" s="20" t="s">
        <v>78</v>
      </c>
    </row>
    <row r="421" spans="1:19" x14ac:dyDescent="0.35">
      <c r="A421" s="82" t="s">
        <v>123</v>
      </c>
      <c r="B421" s="19">
        <v>289960</v>
      </c>
      <c r="C421" s="19">
        <v>17000</v>
      </c>
      <c r="D421" s="19" t="s">
        <v>78</v>
      </c>
      <c r="E421" s="19" t="s">
        <v>348</v>
      </c>
      <c r="F421" s="19" t="s">
        <v>11</v>
      </c>
      <c r="G421" s="19" t="s">
        <v>12</v>
      </c>
      <c r="H421" s="19" t="s">
        <v>78</v>
      </c>
      <c r="I421" s="19" t="s">
        <v>12</v>
      </c>
      <c r="J421" s="19" t="s">
        <v>78</v>
      </c>
      <c r="K421" s="19" t="s">
        <v>78</v>
      </c>
      <c r="L421" s="19" t="s">
        <v>78</v>
      </c>
      <c r="M421" s="19" t="s">
        <v>78</v>
      </c>
      <c r="N421" s="19" t="s">
        <v>78</v>
      </c>
      <c r="O421" s="19" t="s">
        <v>78</v>
      </c>
      <c r="P421" s="19" t="s">
        <v>78</v>
      </c>
      <c r="Q421" s="19" t="s">
        <v>78</v>
      </c>
      <c r="R421" s="19" t="s">
        <v>78</v>
      </c>
      <c r="S421" s="20" t="s">
        <v>78</v>
      </c>
    </row>
    <row r="422" spans="1:19" x14ac:dyDescent="0.35">
      <c r="A422" s="82" t="s">
        <v>124</v>
      </c>
      <c r="B422" s="19">
        <v>1533360</v>
      </c>
      <c r="C422" s="19">
        <v>17000</v>
      </c>
      <c r="D422" s="19" t="s">
        <v>78</v>
      </c>
      <c r="E422" s="19" t="s">
        <v>422</v>
      </c>
      <c r="F422" s="19" t="s">
        <v>105</v>
      </c>
      <c r="G422" s="19" t="s">
        <v>78</v>
      </c>
      <c r="H422" s="19" t="s">
        <v>78</v>
      </c>
      <c r="I422" s="19" t="s">
        <v>12</v>
      </c>
      <c r="J422" s="19" t="s">
        <v>78</v>
      </c>
      <c r="K422" s="19" t="s">
        <v>78</v>
      </c>
      <c r="L422" s="19" t="s">
        <v>78</v>
      </c>
      <c r="M422" s="19" t="s">
        <v>78</v>
      </c>
      <c r="N422" s="19" t="s">
        <v>78</v>
      </c>
      <c r="O422" s="19"/>
      <c r="P422" s="19" t="s">
        <v>78</v>
      </c>
      <c r="Q422" s="19" t="s">
        <v>78</v>
      </c>
      <c r="R422" s="19" t="s">
        <v>78</v>
      </c>
      <c r="S422" s="20" t="s">
        <v>78</v>
      </c>
    </row>
    <row r="423" spans="1:19" x14ac:dyDescent="0.35">
      <c r="A423" s="81" t="s">
        <v>124</v>
      </c>
      <c r="B423" s="17">
        <v>2065240</v>
      </c>
      <c r="C423" s="17">
        <v>17000</v>
      </c>
      <c r="D423" s="17" t="s">
        <v>78</v>
      </c>
      <c r="E423" s="17" t="s">
        <v>377</v>
      </c>
      <c r="F423" s="17" t="s">
        <v>11</v>
      </c>
      <c r="G423" s="17" t="s">
        <v>12</v>
      </c>
      <c r="H423" s="17" t="s">
        <v>78</v>
      </c>
      <c r="I423" s="17" t="s">
        <v>12</v>
      </c>
      <c r="J423" s="17" t="s">
        <v>78</v>
      </c>
      <c r="K423" s="17" t="s">
        <v>78</v>
      </c>
      <c r="L423" s="17" t="s">
        <v>78</v>
      </c>
      <c r="M423" s="17" t="s">
        <v>78</v>
      </c>
      <c r="N423" s="17" t="s">
        <v>78</v>
      </c>
      <c r="O423" s="17"/>
      <c r="P423" s="17" t="s">
        <v>78</v>
      </c>
      <c r="Q423" s="17" t="s">
        <v>78</v>
      </c>
      <c r="R423" s="17" t="s">
        <v>78</v>
      </c>
      <c r="S423" s="18" t="s">
        <v>78</v>
      </c>
    </row>
    <row r="424" spans="1:19" x14ac:dyDescent="0.35">
      <c r="A424" s="81" t="s">
        <v>124</v>
      </c>
      <c r="B424" s="17">
        <v>707960</v>
      </c>
      <c r="C424" s="17">
        <v>17000</v>
      </c>
      <c r="D424" s="17" t="s">
        <v>78</v>
      </c>
      <c r="E424" s="17" t="s">
        <v>422</v>
      </c>
      <c r="F424" s="17" t="s">
        <v>11</v>
      </c>
      <c r="G424" s="17" t="s">
        <v>12</v>
      </c>
      <c r="H424" s="17" t="s">
        <v>78</v>
      </c>
      <c r="I424" s="17" t="s">
        <v>12</v>
      </c>
      <c r="J424" s="17" t="s">
        <v>78</v>
      </c>
      <c r="K424" s="17" t="s">
        <v>78</v>
      </c>
      <c r="L424" s="17" t="s">
        <v>78</v>
      </c>
      <c r="M424" s="17" t="s">
        <v>78</v>
      </c>
      <c r="N424" s="17" t="s">
        <v>78</v>
      </c>
      <c r="O424" s="17"/>
      <c r="P424" s="17" t="s">
        <v>78</v>
      </c>
      <c r="Q424" s="17" t="s">
        <v>78</v>
      </c>
      <c r="R424" s="17" t="s">
        <v>78</v>
      </c>
      <c r="S424" s="18" t="s">
        <v>78</v>
      </c>
    </row>
    <row r="425" spans="1:19" x14ac:dyDescent="0.35">
      <c r="A425" s="82" t="s">
        <v>124</v>
      </c>
      <c r="B425" s="19">
        <v>630760</v>
      </c>
      <c r="C425" s="19">
        <v>18800</v>
      </c>
      <c r="D425" s="19" t="s">
        <v>78</v>
      </c>
      <c r="E425" s="19" t="s">
        <v>376</v>
      </c>
      <c r="F425" s="19" t="s">
        <v>11</v>
      </c>
      <c r="G425" s="19" t="s">
        <v>12</v>
      </c>
      <c r="H425" s="19" t="s">
        <v>78</v>
      </c>
      <c r="I425" s="19" t="s">
        <v>12</v>
      </c>
      <c r="J425" s="19" t="s">
        <v>78</v>
      </c>
      <c r="K425" s="19" t="s">
        <v>78</v>
      </c>
      <c r="L425" s="19" t="s">
        <v>78</v>
      </c>
      <c r="M425" s="19" t="s">
        <v>78</v>
      </c>
      <c r="N425" s="19" t="s">
        <v>78</v>
      </c>
      <c r="O425" s="19"/>
      <c r="P425" s="19" t="s">
        <v>78</v>
      </c>
      <c r="Q425" s="19" t="s">
        <v>78</v>
      </c>
      <c r="R425" s="19" t="s">
        <v>78</v>
      </c>
      <c r="S425" s="20" t="s">
        <v>78</v>
      </c>
    </row>
    <row r="426" spans="1:19" x14ac:dyDescent="0.35">
      <c r="A426" s="82" t="s">
        <v>124</v>
      </c>
      <c r="B426" s="19">
        <v>901280</v>
      </c>
      <c r="C426" s="19">
        <v>17000</v>
      </c>
      <c r="D426" s="19" t="s">
        <v>78</v>
      </c>
      <c r="E426" s="19" t="s">
        <v>376</v>
      </c>
      <c r="F426" s="19" t="s">
        <v>79</v>
      </c>
      <c r="G426" s="19" t="s">
        <v>78</v>
      </c>
      <c r="H426" s="19" t="s">
        <v>78</v>
      </c>
      <c r="I426" s="19" t="s">
        <v>12</v>
      </c>
      <c r="J426" s="19" t="s">
        <v>78</v>
      </c>
      <c r="K426" s="19" t="s">
        <v>78</v>
      </c>
      <c r="L426" s="19" t="s">
        <v>78</v>
      </c>
      <c r="M426" s="19" t="s">
        <v>78</v>
      </c>
      <c r="N426" s="19" t="s">
        <v>78</v>
      </c>
      <c r="O426" s="19" t="s">
        <v>78</v>
      </c>
      <c r="P426" s="19" t="s">
        <v>78</v>
      </c>
      <c r="Q426" s="19" t="s">
        <v>78</v>
      </c>
      <c r="R426" s="19" t="s">
        <v>218</v>
      </c>
      <c r="S426" s="20" t="s">
        <v>78</v>
      </c>
    </row>
    <row r="427" spans="1:19" x14ac:dyDescent="0.35">
      <c r="A427" s="81" t="s">
        <v>229</v>
      </c>
      <c r="B427" s="17">
        <v>541760</v>
      </c>
      <c r="C427" s="17">
        <v>17000</v>
      </c>
      <c r="D427" s="17" t="s">
        <v>78</v>
      </c>
      <c r="E427" s="17" t="s">
        <v>344</v>
      </c>
      <c r="F427" s="17" t="s">
        <v>79</v>
      </c>
      <c r="G427" s="17" t="s">
        <v>78</v>
      </c>
      <c r="H427" s="17" t="s">
        <v>78</v>
      </c>
      <c r="I427" s="17" t="s">
        <v>12</v>
      </c>
      <c r="J427" s="17" t="s">
        <v>78</v>
      </c>
      <c r="K427" s="17" t="s">
        <v>78</v>
      </c>
      <c r="L427" s="17" t="s">
        <v>78</v>
      </c>
      <c r="M427" s="17" t="s">
        <v>78</v>
      </c>
      <c r="N427" s="17" t="s">
        <v>78</v>
      </c>
      <c r="O427" s="17"/>
      <c r="P427" s="17" t="s">
        <v>78</v>
      </c>
      <c r="Q427" s="17" t="s">
        <v>78</v>
      </c>
      <c r="R427" s="17" t="s">
        <v>218</v>
      </c>
      <c r="S427" s="18" t="s">
        <v>78</v>
      </c>
    </row>
    <row r="428" spans="1:19" x14ac:dyDescent="0.35">
      <c r="A428" s="81" t="s">
        <v>229</v>
      </c>
      <c r="B428" s="17">
        <v>114200</v>
      </c>
      <c r="C428" s="17">
        <v>17000</v>
      </c>
      <c r="D428" s="17" t="s">
        <v>78</v>
      </c>
      <c r="E428" s="17" t="s">
        <v>348</v>
      </c>
      <c r="F428" s="17" t="s">
        <v>83</v>
      </c>
      <c r="G428" s="17" t="s">
        <v>12</v>
      </c>
      <c r="H428" s="17" t="s">
        <v>78</v>
      </c>
      <c r="I428" s="17" t="s">
        <v>12</v>
      </c>
      <c r="J428" s="17" t="s">
        <v>78</v>
      </c>
      <c r="K428" s="17" t="s">
        <v>78</v>
      </c>
      <c r="L428" s="17" t="s">
        <v>78</v>
      </c>
      <c r="M428" s="17" t="s">
        <v>78</v>
      </c>
      <c r="N428" s="17" t="s">
        <v>78</v>
      </c>
      <c r="O428" s="17"/>
      <c r="P428" s="17" t="s">
        <v>78</v>
      </c>
      <c r="Q428" s="17" t="s">
        <v>78</v>
      </c>
      <c r="R428" s="17" t="s">
        <v>78</v>
      </c>
      <c r="S428" s="18" t="s">
        <v>78</v>
      </c>
    </row>
    <row r="429" spans="1:19" x14ac:dyDescent="0.35">
      <c r="A429" s="82" t="s">
        <v>229</v>
      </c>
      <c r="B429" s="19">
        <v>689320</v>
      </c>
      <c r="C429" s="19">
        <v>17000</v>
      </c>
      <c r="D429" s="19" t="s">
        <v>78</v>
      </c>
      <c r="E429" s="19" t="s">
        <v>377</v>
      </c>
      <c r="F429" s="19" t="s">
        <v>277</v>
      </c>
      <c r="G429" s="19" t="s">
        <v>12</v>
      </c>
      <c r="H429" s="19" t="s">
        <v>78</v>
      </c>
      <c r="I429" s="19" t="s">
        <v>12</v>
      </c>
      <c r="J429" s="19" t="s">
        <v>78</v>
      </c>
      <c r="K429" s="19" t="s">
        <v>78</v>
      </c>
      <c r="L429" s="19" t="s">
        <v>78</v>
      </c>
      <c r="M429" s="19" t="s">
        <v>78</v>
      </c>
      <c r="N429" s="19" t="s">
        <v>78</v>
      </c>
      <c r="O429" s="19"/>
      <c r="P429" s="19" t="s">
        <v>78</v>
      </c>
      <c r="Q429" s="19" t="s">
        <v>78</v>
      </c>
      <c r="R429" s="19" t="s">
        <v>78</v>
      </c>
      <c r="S429" s="20" t="s">
        <v>78</v>
      </c>
    </row>
    <row r="430" spans="1:19" x14ac:dyDescent="0.35">
      <c r="A430" s="82" t="s">
        <v>229</v>
      </c>
      <c r="B430" s="19">
        <v>1382120</v>
      </c>
      <c r="C430" s="19">
        <v>17000</v>
      </c>
      <c r="D430" s="19" t="s">
        <v>78</v>
      </c>
      <c r="E430" s="19" t="s">
        <v>343</v>
      </c>
      <c r="F430" s="19" t="s">
        <v>79</v>
      </c>
      <c r="G430" s="19" t="s">
        <v>78</v>
      </c>
      <c r="H430" s="19" t="s">
        <v>78</v>
      </c>
      <c r="I430" s="19" t="s">
        <v>12</v>
      </c>
      <c r="J430" s="19" t="s">
        <v>78</v>
      </c>
      <c r="K430" s="19" t="s">
        <v>78</v>
      </c>
      <c r="L430" s="19" t="s">
        <v>78</v>
      </c>
      <c r="M430" s="19" t="s">
        <v>78</v>
      </c>
      <c r="N430" s="19" t="s">
        <v>78</v>
      </c>
      <c r="O430" s="19" t="s">
        <v>78</v>
      </c>
      <c r="P430" s="19" t="s">
        <v>78</v>
      </c>
      <c r="Q430" s="19" t="s">
        <v>78</v>
      </c>
      <c r="R430" s="19" t="s">
        <v>218</v>
      </c>
      <c r="S430" s="20" t="s">
        <v>78</v>
      </c>
    </row>
    <row r="431" spans="1:19" x14ac:dyDescent="0.35">
      <c r="A431" s="82" t="s">
        <v>230</v>
      </c>
      <c r="B431" s="19">
        <v>587720</v>
      </c>
      <c r="C431" s="19">
        <v>17000</v>
      </c>
      <c r="D431" s="19" t="s">
        <v>78</v>
      </c>
      <c r="E431" s="19" t="s">
        <v>377</v>
      </c>
      <c r="F431" s="19" t="s">
        <v>11</v>
      </c>
      <c r="G431" s="19" t="s">
        <v>12</v>
      </c>
      <c r="H431" s="19" t="s">
        <v>78</v>
      </c>
      <c r="I431" s="19" t="s">
        <v>12</v>
      </c>
      <c r="J431" s="19" t="s">
        <v>78</v>
      </c>
      <c r="K431" s="19" t="s">
        <v>78</v>
      </c>
      <c r="L431" s="19" t="s">
        <v>78</v>
      </c>
      <c r="M431" s="19" t="s">
        <v>78</v>
      </c>
      <c r="N431" s="19" t="s">
        <v>78</v>
      </c>
      <c r="O431" s="19"/>
      <c r="P431" s="19" t="s">
        <v>78</v>
      </c>
      <c r="Q431" s="19" t="s">
        <v>78</v>
      </c>
      <c r="R431" s="19" t="s">
        <v>78</v>
      </c>
      <c r="S431" s="20" t="s">
        <v>78</v>
      </c>
    </row>
    <row r="432" spans="1:19" x14ac:dyDescent="0.35">
      <c r="A432" s="81" t="s">
        <v>230</v>
      </c>
      <c r="B432" s="17">
        <v>393200</v>
      </c>
      <c r="C432" s="17">
        <v>17000</v>
      </c>
      <c r="D432" s="17" t="s">
        <v>78</v>
      </c>
      <c r="E432" s="17" t="s">
        <v>348</v>
      </c>
      <c r="F432" s="17" t="s">
        <v>11</v>
      </c>
      <c r="G432" s="17" t="s">
        <v>12</v>
      </c>
      <c r="H432" s="17" t="s">
        <v>78</v>
      </c>
      <c r="I432" s="17" t="s">
        <v>12</v>
      </c>
      <c r="J432" s="17" t="s">
        <v>78</v>
      </c>
      <c r="K432" s="17" t="s">
        <v>78</v>
      </c>
      <c r="L432" s="17" t="s">
        <v>78</v>
      </c>
      <c r="M432" s="17" t="s">
        <v>78</v>
      </c>
      <c r="N432" s="17" t="s">
        <v>78</v>
      </c>
      <c r="O432" s="17"/>
      <c r="P432" s="17" t="s">
        <v>78</v>
      </c>
      <c r="Q432" s="17" t="s">
        <v>78</v>
      </c>
      <c r="R432" s="17" t="s">
        <v>78</v>
      </c>
      <c r="S432" s="18" t="s">
        <v>78</v>
      </c>
    </row>
    <row r="433" spans="1:19" x14ac:dyDescent="0.35">
      <c r="A433" s="82" t="s">
        <v>230</v>
      </c>
      <c r="B433" s="19">
        <v>1083080</v>
      </c>
      <c r="C433" s="19">
        <v>17000</v>
      </c>
      <c r="D433" s="19" t="s">
        <v>78</v>
      </c>
      <c r="E433" s="19" t="s">
        <v>344</v>
      </c>
      <c r="F433" s="19" t="s">
        <v>79</v>
      </c>
      <c r="G433" s="19" t="s">
        <v>78</v>
      </c>
      <c r="H433" s="19" t="s">
        <v>78</v>
      </c>
      <c r="I433" s="19" t="s">
        <v>12</v>
      </c>
      <c r="J433" s="19" t="s">
        <v>78</v>
      </c>
      <c r="K433" s="19" t="s">
        <v>78</v>
      </c>
      <c r="L433" s="19" t="s">
        <v>78</v>
      </c>
      <c r="M433" s="19" t="s">
        <v>78</v>
      </c>
      <c r="N433" s="19" t="s">
        <v>78</v>
      </c>
      <c r="O433" s="19"/>
      <c r="P433" s="19" t="s">
        <v>78</v>
      </c>
      <c r="Q433" s="19" t="s">
        <v>78</v>
      </c>
      <c r="R433" s="19" t="s">
        <v>218</v>
      </c>
      <c r="S433" s="20" t="s">
        <v>78</v>
      </c>
    </row>
    <row r="434" spans="1:19" x14ac:dyDescent="0.35">
      <c r="A434" s="82" t="s">
        <v>230</v>
      </c>
      <c r="B434" s="19">
        <v>716480</v>
      </c>
      <c r="C434" s="19">
        <v>17000</v>
      </c>
      <c r="D434" s="19" t="s">
        <v>78</v>
      </c>
      <c r="E434" s="19" t="s">
        <v>346</v>
      </c>
      <c r="F434" s="19" t="s">
        <v>105</v>
      </c>
      <c r="G434" s="19" t="s">
        <v>78</v>
      </c>
      <c r="H434" s="19" t="s">
        <v>78</v>
      </c>
      <c r="I434" s="19" t="s">
        <v>12</v>
      </c>
      <c r="J434" s="19" t="s">
        <v>78</v>
      </c>
      <c r="K434" s="19" t="s">
        <v>78</v>
      </c>
      <c r="L434" s="19" t="s">
        <v>78</v>
      </c>
      <c r="M434" s="19" t="s">
        <v>78</v>
      </c>
      <c r="N434" s="19" t="s">
        <v>78</v>
      </c>
      <c r="O434" s="19" t="s">
        <v>78</v>
      </c>
      <c r="P434" s="19" t="s">
        <v>78</v>
      </c>
      <c r="Q434" s="19" t="s">
        <v>78</v>
      </c>
      <c r="R434" s="19" t="s">
        <v>78</v>
      </c>
      <c r="S434" s="20" t="s">
        <v>78</v>
      </c>
    </row>
    <row r="435" spans="1:19" x14ac:dyDescent="0.35">
      <c r="A435" s="81" t="s">
        <v>258</v>
      </c>
      <c r="B435" s="17">
        <v>709600</v>
      </c>
      <c r="C435" s="17">
        <v>17000</v>
      </c>
      <c r="D435" s="17" t="s">
        <v>78</v>
      </c>
      <c r="E435" s="17" t="s">
        <v>420</v>
      </c>
      <c r="F435" s="17" t="s">
        <v>11</v>
      </c>
      <c r="G435" s="17" t="s">
        <v>12</v>
      </c>
      <c r="H435" s="17" t="s">
        <v>78</v>
      </c>
      <c r="I435" s="17" t="s">
        <v>12</v>
      </c>
      <c r="J435" s="17" t="s">
        <v>78</v>
      </c>
      <c r="K435" s="17" t="s">
        <v>78</v>
      </c>
      <c r="L435" s="17" t="s">
        <v>78</v>
      </c>
      <c r="M435" s="17" t="s">
        <v>78</v>
      </c>
      <c r="N435" s="17" t="s">
        <v>78</v>
      </c>
      <c r="O435" s="17"/>
      <c r="P435" s="17" t="s">
        <v>78</v>
      </c>
      <c r="Q435" s="17" t="s">
        <v>78</v>
      </c>
      <c r="R435" s="17" t="s">
        <v>78</v>
      </c>
      <c r="S435" s="18" t="s">
        <v>78</v>
      </c>
    </row>
    <row r="436" spans="1:19" x14ac:dyDescent="0.35">
      <c r="A436" s="81" t="s">
        <v>258</v>
      </c>
      <c r="B436" s="17">
        <v>437640</v>
      </c>
      <c r="C436" s="17">
        <v>17000</v>
      </c>
      <c r="D436" s="17" t="s">
        <v>78</v>
      </c>
      <c r="E436" s="17" t="s">
        <v>422</v>
      </c>
      <c r="F436" s="17" t="s">
        <v>79</v>
      </c>
      <c r="G436" s="17" t="s">
        <v>78</v>
      </c>
      <c r="H436" s="17" t="s">
        <v>78</v>
      </c>
      <c r="I436" s="17" t="s">
        <v>12</v>
      </c>
      <c r="J436" s="17" t="s">
        <v>78</v>
      </c>
      <c r="K436" s="17" t="s">
        <v>78</v>
      </c>
      <c r="L436" s="17" t="s">
        <v>78</v>
      </c>
      <c r="M436" s="17" t="s">
        <v>78</v>
      </c>
      <c r="N436" s="17" t="s">
        <v>78</v>
      </c>
      <c r="O436" s="17"/>
      <c r="P436" s="17" t="s">
        <v>78</v>
      </c>
      <c r="Q436" s="17" t="s">
        <v>78</v>
      </c>
      <c r="R436" s="17" t="s">
        <v>218</v>
      </c>
      <c r="S436" s="18" t="s">
        <v>78</v>
      </c>
    </row>
    <row r="437" spans="1:19" x14ac:dyDescent="0.35">
      <c r="A437" s="82" t="s">
        <v>258</v>
      </c>
      <c r="B437" s="19">
        <v>1223800</v>
      </c>
      <c r="C437" s="19">
        <v>17000</v>
      </c>
      <c r="D437" s="19" t="s">
        <v>78</v>
      </c>
      <c r="E437" s="19" t="s">
        <v>422</v>
      </c>
      <c r="F437" s="19" t="s">
        <v>11</v>
      </c>
      <c r="G437" s="19" t="s">
        <v>12</v>
      </c>
      <c r="H437" s="19" t="s">
        <v>78</v>
      </c>
      <c r="I437" s="19" t="s">
        <v>12</v>
      </c>
      <c r="J437" s="19" t="s">
        <v>78</v>
      </c>
      <c r="K437" s="19" t="s">
        <v>78</v>
      </c>
      <c r="L437" s="19" t="s">
        <v>78</v>
      </c>
      <c r="M437" s="19" t="s">
        <v>78</v>
      </c>
      <c r="N437" s="19" t="s">
        <v>78</v>
      </c>
      <c r="O437" s="19"/>
      <c r="P437" s="19" t="s">
        <v>78</v>
      </c>
      <c r="Q437" s="19" t="s">
        <v>78</v>
      </c>
      <c r="R437" s="19" t="s">
        <v>78</v>
      </c>
      <c r="S437" s="20" t="s">
        <v>78</v>
      </c>
    </row>
    <row r="438" spans="1:19" x14ac:dyDescent="0.35">
      <c r="A438" s="82" t="s">
        <v>258</v>
      </c>
      <c r="B438" s="19">
        <v>1750440</v>
      </c>
      <c r="C438" s="19">
        <v>17000</v>
      </c>
      <c r="D438" s="19" t="s">
        <v>78</v>
      </c>
      <c r="E438" s="19" t="s">
        <v>421</v>
      </c>
      <c r="F438" s="19" t="s">
        <v>83</v>
      </c>
      <c r="G438" s="19" t="s">
        <v>12</v>
      </c>
      <c r="H438" s="19" t="s">
        <v>78</v>
      </c>
      <c r="I438" s="19" t="s">
        <v>12</v>
      </c>
      <c r="J438" s="19" t="s">
        <v>78</v>
      </c>
      <c r="K438" s="19" t="s">
        <v>78</v>
      </c>
      <c r="L438" s="19" t="s">
        <v>78</v>
      </c>
      <c r="M438" s="19" t="s">
        <v>78</v>
      </c>
      <c r="N438" s="19" t="s">
        <v>78</v>
      </c>
      <c r="O438" s="19" t="s">
        <v>78</v>
      </c>
      <c r="P438" s="19" t="s">
        <v>78</v>
      </c>
      <c r="Q438" s="19" t="s">
        <v>78</v>
      </c>
      <c r="R438" s="19" t="s">
        <v>78</v>
      </c>
      <c r="S438" s="20" t="s">
        <v>78</v>
      </c>
    </row>
    <row r="439" spans="1:19" x14ac:dyDescent="0.35">
      <c r="A439" s="81" t="s">
        <v>578</v>
      </c>
      <c r="B439" s="17">
        <v>944600</v>
      </c>
      <c r="C439" s="17">
        <v>17000</v>
      </c>
      <c r="D439" s="17" t="s">
        <v>78</v>
      </c>
      <c r="E439" s="17" t="s">
        <v>413</v>
      </c>
      <c r="F439" s="17" t="s">
        <v>79</v>
      </c>
      <c r="G439" s="17" t="s">
        <v>78</v>
      </c>
      <c r="H439" s="17" t="s">
        <v>78</v>
      </c>
      <c r="I439" s="17" t="s">
        <v>12</v>
      </c>
      <c r="J439" s="17" t="s">
        <v>78</v>
      </c>
      <c r="K439" s="17" t="s">
        <v>78</v>
      </c>
      <c r="L439" s="17" t="s">
        <v>78</v>
      </c>
      <c r="M439" s="17" t="s">
        <v>78</v>
      </c>
      <c r="N439" s="17" t="s">
        <v>78</v>
      </c>
      <c r="O439" s="17"/>
      <c r="P439" s="17" t="s">
        <v>78</v>
      </c>
      <c r="Q439" s="17" t="s">
        <v>78</v>
      </c>
      <c r="R439" s="17" t="s">
        <v>218</v>
      </c>
      <c r="S439" s="18" t="s">
        <v>78</v>
      </c>
    </row>
    <row r="440" spans="1:19" x14ac:dyDescent="0.35">
      <c r="A440" s="82" t="s">
        <v>578</v>
      </c>
      <c r="B440" s="19">
        <v>1526920</v>
      </c>
      <c r="C440" s="19">
        <v>17000</v>
      </c>
      <c r="D440" s="19" t="s">
        <v>78</v>
      </c>
      <c r="E440" s="19" t="s">
        <v>422</v>
      </c>
      <c r="F440" s="19" t="s">
        <v>11</v>
      </c>
      <c r="G440" s="19" t="s">
        <v>12</v>
      </c>
      <c r="H440" s="19" t="s">
        <v>78</v>
      </c>
      <c r="I440" s="19" t="s">
        <v>12</v>
      </c>
      <c r="J440" s="19" t="s">
        <v>78</v>
      </c>
      <c r="K440" s="19" t="s">
        <v>78</v>
      </c>
      <c r="L440" s="19" t="s">
        <v>78</v>
      </c>
      <c r="M440" s="19" t="s">
        <v>78</v>
      </c>
      <c r="N440" s="19" t="s">
        <v>78</v>
      </c>
      <c r="O440" s="19"/>
      <c r="P440" s="19" t="s">
        <v>78</v>
      </c>
      <c r="Q440" s="19" t="s">
        <v>78</v>
      </c>
      <c r="R440" s="19" t="s">
        <v>78</v>
      </c>
      <c r="S440" s="20" t="s">
        <v>78</v>
      </c>
    </row>
    <row r="441" spans="1:19" x14ac:dyDescent="0.35">
      <c r="A441" s="82" t="s">
        <v>578</v>
      </c>
      <c r="B441" s="19">
        <v>0</v>
      </c>
      <c r="C441" s="19">
        <v>6080</v>
      </c>
      <c r="D441" s="19" t="s">
        <v>78</v>
      </c>
      <c r="E441" s="19" t="s">
        <v>347</v>
      </c>
      <c r="F441" s="19" t="s">
        <v>277</v>
      </c>
      <c r="G441" s="19" t="s">
        <v>12</v>
      </c>
      <c r="H441" s="19" t="s">
        <v>78</v>
      </c>
      <c r="I441" s="19" t="s">
        <v>12</v>
      </c>
      <c r="J441" s="19" t="s">
        <v>78</v>
      </c>
      <c r="K441" s="19" t="s">
        <v>78</v>
      </c>
      <c r="L441" s="19" t="s">
        <v>78</v>
      </c>
      <c r="M441" s="19" t="s">
        <v>78</v>
      </c>
      <c r="N441" s="19" t="s">
        <v>78</v>
      </c>
      <c r="O441" s="19" t="s">
        <v>78</v>
      </c>
      <c r="P441" s="19" t="s">
        <v>78</v>
      </c>
      <c r="Q441" s="19" t="s">
        <v>78</v>
      </c>
      <c r="R441" s="19" t="s">
        <v>78</v>
      </c>
      <c r="S441" s="20" t="s">
        <v>78</v>
      </c>
    </row>
    <row r="442" spans="1:19" x14ac:dyDescent="0.35">
      <c r="A442" s="82" t="s">
        <v>572</v>
      </c>
      <c r="B442" s="19">
        <v>1954200</v>
      </c>
      <c r="C442" s="19">
        <v>17000</v>
      </c>
      <c r="D442" s="19" t="s">
        <v>78</v>
      </c>
      <c r="E442" s="19" t="s">
        <v>377</v>
      </c>
      <c r="F442" s="19" t="s">
        <v>11</v>
      </c>
      <c r="G442" s="19" t="s">
        <v>12</v>
      </c>
      <c r="H442" s="19" t="s">
        <v>78</v>
      </c>
      <c r="I442" s="19" t="s">
        <v>12</v>
      </c>
      <c r="J442" s="19" t="s">
        <v>78</v>
      </c>
      <c r="K442" s="19" t="s">
        <v>78</v>
      </c>
      <c r="L442" s="19" t="s">
        <v>78</v>
      </c>
      <c r="M442" s="19" t="s">
        <v>78</v>
      </c>
      <c r="N442" s="19" t="s">
        <v>78</v>
      </c>
      <c r="O442" s="19"/>
      <c r="P442" s="19" t="s">
        <v>78</v>
      </c>
      <c r="Q442" s="19" t="s">
        <v>78</v>
      </c>
      <c r="R442" s="19" t="s">
        <v>78</v>
      </c>
      <c r="S442" s="20" t="s">
        <v>78</v>
      </c>
    </row>
    <row r="443" spans="1:19" x14ac:dyDescent="0.35">
      <c r="A443" s="82" t="s">
        <v>572</v>
      </c>
      <c r="B443" s="19">
        <v>1544720</v>
      </c>
      <c r="C443" s="19">
        <v>17000</v>
      </c>
      <c r="D443" s="19" t="s">
        <v>78</v>
      </c>
      <c r="E443" s="19" t="s">
        <v>348</v>
      </c>
      <c r="F443" s="19" t="s">
        <v>13</v>
      </c>
      <c r="G443" s="19" t="s">
        <v>78</v>
      </c>
      <c r="H443" s="19" t="s">
        <v>78</v>
      </c>
      <c r="I443" s="19" t="s">
        <v>12</v>
      </c>
      <c r="J443" s="19" t="s">
        <v>78</v>
      </c>
      <c r="K443" s="19" t="s">
        <v>78</v>
      </c>
      <c r="L443" s="19" t="s">
        <v>78</v>
      </c>
      <c r="M443" s="19" t="s">
        <v>78</v>
      </c>
      <c r="N443" s="19" t="s">
        <v>78</v>
      </c>
      <c r="O443" s="19"/>
      <c r="P443" s="19" t="s">
        <v>78</v>
      </c>
      <c r="Q443" s="19" t="s">
        <v>78</v>
      </c>
      <c r="R443" s="19" t="s">
        <v>78</v>
      </c>
      <c r="S443" s="20" t="s">
        <v>78</v>
      </c>
    </row>
    <row r="444" spans="1:19" x14ac:dyDescent="0.35">
      <c r="A444" s="82" t="s">
        <v>572</v>
      </c>
      <c r="B444" s="19">
        <v>0</v>
      </c>
      <c r="C444" s="19">
        <v>6080</v>
      </c>
      <c r="D444" s="19" t="s">
        <v>78</v>
      </c>
      <c r="E444" s="19" t="s">
        <v>439</v>
      </c>
      <c r="F444" s="19" t="s">
        <v>11</v>
      </c>
      <c r="G444" s="19" t="s">
        <v>12</v>
      </c>
      <c r="H444" s="19" t="s">
        <v>78</v>
      </c>
      <c r="I444" s="19" t="s">
        <v>12</v>
      </c>
      <c r="J444" s="19" t="s">
        <v>78</v>
      </c>
      <c r="K444" s="19" t="s">
        <v>78</v>
      </c>
      <c r="L444" s="19" t="s">
        <v>78</v>
      </c>
      <c r="M444" s="19" t="s">
        <v>78</v>
      </c>
      <c r="N444" s="19" t="s">
        <v>78</v>
      </c>
      <c r="O444" s="19" t="s">
        <v>78</v>
      </c>
      <c r="P444" s="19" t="s">
        <v>78</v>
      </c>
      <c r="Q444" s="19" t="s">
        <v>78</v>
      </c>
      <c r="R444" s="19" t="s">
        <v>78</v>
      </c>
      <c r="S444" s="20" t="s">
        <v>78</v>
      </c>
    </row>
    <row r="445" spans="1:19" x14ac:dyDescent="0.35">
      <c r="A445" s="81" t="s">
        <v>579</v>
      </c>
      <c r="B445" s="17">
        <v>2244800</v>
      </c>
      <c r="C445" s="17">
        <v>17000</v>
      </c>
      <c r="D445" s="17" t="s">
        <v>78</v>
      </c>
      <c r="E445" s="17" t="s">
        <v>415</v>
      </c>
      <c r="F445" s="17" t="s">
        <v>79</v>
      </c>
      <c r="G445" s="17" t="s">
        <v>78</v>
      </c>
      <c r="H445" s="17" t="s">
        <v>78</v>
      </c>
      <c r="I445" s="17" t="s">
        <v>12</v>
      </c>
      <c r="J445" s="17" t="s">
        <v>78</v>
      </c>
      <c r="K445" s="17" t="s">
        <v>78</v>
      </c>
      <c r="L445" s="17" t="s">
        <v>78</v>
      </c>
      <c r="M445" s="17" t="s">
        <v>78</v>
      </c>
      <c r="N445" s="17" t="s">
        <v>78</v>
      </c>
      <c r="O445" s="17"/>
      <c r="P445" s="17" t="s">
        <v>78</v>
      </c>
      <c r="Q445" s="17" t="s">
        <v>78</v>
      </c>
      <c r="R445" s="17" t="s">
        <v>218</v>
      </c>
      <c r="S445" s="18" t="s">
        <v>78</v>
      </c>
    </row>
    <row r="446" spans="1:19" x14ac:dyDescent="0.35">
      <c r="A446" s="82" t="s">
        <v>579</v>
      </c>
      <c r="B446" s="19">
        <v>2029080</v>
      </c>
      <c r="C446" s="19">
        <v>17000</v>
      </c>
      <c r="D446" s="19" t="s">
        <v>78</v>
      </c>
      <c r="E446" s="19" t="s">
        <v>422</v>
      </c>
      <c r="F446" s="19" t="s">
        <v>11</v>
      </c>
      <c r="G446" s="19" t="s">
        <v>12</v>
      </c>
      <c r="H446" s="19" t="s">
        <v>78</v>
      </c>
      <c r="I446" s="19" t="s">
        <v>12</v>
      </c>
      <c r="J446" s="19" t="s">
        <v>78</v>
      </c>
      <c r="K446" s="19" t="s">
        <v>78</v>
      </c>
      <c r="L446" s="19" t="s">
        <v>78</v>
      </c>
      <c r="M446" s="19" t="s">
        <v>78</v>
      </c>
      <c r="N446" s="19" t="s">
        <v>78</v>
      </c>
      <c r="O446" s="19"/>
      <c r="P446" s="19" t="s">
        <v>78</v>
      </c>
      <c r="Q446" s="19" t="s">
        <v>78</v>
      </c>
      <c r="R446" s="19" t="s">
        <v>78</v>
      </c>
      <c r="S446" s="20" t="s">
        <v>78</v>
      </c>
    </row>
    <row r="447" spans="1:19" x14ac:dyDescent="0.35">
      <c r="A447" s="82" t="s">
        <v>579</v>
      </c>
      <c r="B447" s="19">
        <v>160640</v>
      </c>
      <c r="C447" s="19">
        <v>17000</v>
      </c>
      <c r="D447" s="19" t="s">
        <v>78</v>
      </c>
      <c r="E447" s="19" t="s">
        <v>347</v>
      </c>
      <c r="F447" s="19" t="s">
        <v>10</v>
      </c>
      <c r="G447" s="19" t="s">
        <v>17</v>
      </c>
      <c r="H447" s="19" t="s">
        <v>78</v>
      </c>
      <c r="I447" s="19" t="s">
        <v>12</v>
      </c>
      <c r="J447" s="19" t="s">
        <v>78</v>
      </c>
      <c r="K447" s="19" t="s">
        <v>78</v>
      </c>
      <c r="L447" s="19" t="s">
        <v>78</v>
      </c>
      <c r="M447" s="19" t="s">
        <v>78</v>
      </c>
      <c r="N447" s="19" t="s">
        <v>78</v>
      </c>
      <c r="O447" s="19" t="s">
        <v>78</v>
      </c>
      <c r="P447" s="19" t="s">
        <v>78</v>
      </c>
      <c r="Q447" s="19" t="s">
        <v>78</v>
      </c>
      <c r="R447" s="19" t="s">
        <v>78</v>
      </c>
      <c r="S447" s="20" t="s">
        <v>78</v>
      </c>
    </row>
    <row r="448" spans="1:19" x14ac:dyDescent="0.35">
      <c r="A448" s="81" t="s">
        <v>567</v>
      </c>
      <c r="B448" s="17">
        <v>2277480</v>
      </c>
      <c r="C448" s="17">
        <v>17000</v>
      </c>
      <c r="D448" s="17" t="s">
        <v>78</v>
      </c>
      <c r="E448" s="17" t="s">
        <v>347</v>
      </c>
      <c r="F448" s="17" t="s">
        <v>83</v>
      </c>
      <c r="G448" s="17" t="s">
        <v>12</v>
      </c>
      <c r="H448" s="17" t="s">
        <v>78</v>
      </c>
      <c r="I448" s="17" t="s">
        <v>12</v>
      </c>
      <c r="J448" s="17" t="s">
        <v>78</v>
      </c>
      <c r="K448" s="17" t="s">
        <v>78</v>
      </c>
      <c r="L448" s="17" t="s">
        <v>78</v>
      </c>
      <c r="M448" s="17" t="s">
        <v>78</v>
      </c>
      <c r="N448" s="17" t="s">
        <v>78</v>
      </c>
      <c r="O448" s="17"/>
      <c r="P448" s="17" t="s">
        <v>78</v>
      </c>
      <c r="Q448" s="17" t="s">
        <v>78</v>
      </c>
      <c r="R448" s="17" t="s">
        <v>78</v>
      </c>
      <c r="S448" s="18" t="s">
        <v>78</v>
      </c>
    </row>
    <row r="449" spans="1:19" x14ac:dyDescent="0.35">
      <c r="A449" s="82" t="s">
        <v>76</v>
      </c>
      <c r="B449" s="19">
        <v>588560</v>
      </c>
      <c r="C449" s="19">
        <v>17000</v>
      </c>
      <c r="D449" s="19" t="s">
        <v>78</v>
      </c>
      <c r="E449" s="19" t="s">
        <v>439</v>
      </c>
      <c r="F449" s="19" t="s">
        <v>78</v>
      </c>
      <c r="G449" s="19" t="s">
        <v>78</v>
      </c>
      <c r="H449" s="19" t="s">
        <v>78</v>
      </c>
      <c r="I449" s="19" t="s">
        <v>78</v>
      </c>
      <c r="J449" s="19" t="s">
        <v>78</v>
      </c>
      <c r="K449" s="19" t="s">
        <v>78</v>
      </c>
      <c r="L449" s="19" t="s">
        <v>78</v>
      </c>
      <c r="M449" s="19" t="s">
        <v>78</v>
      </c>
      <c r="N449" s="19" t="s">
        <v>78</v>
      </c>
      <c r="O449" s="19"/>
      <c r="P449" s="19" t="s">
        <v>78</v>
      </c>
      <c r="Q449" s="19" t="s">
        <v>78</v>
      </c>
      <c r="R449" s="19" t="s">
        <v>78</v>
      </c>
      <c r="S449" s="20" t="s">
        <v>78</v>
      </c>
    </row>
    <row r="450" spans="1:19" x14ac:dyDescent="0.35">
      <c r="A450" s="82" t="s">
        <v>76</v>
      </c>
      <c r="B450" s="17">
        <v>1442560</v>
      </c>
      <c r="C450" s="17">
        <v>17000</v>
      </c>
      <c r="D450" s="17" t="s">
        <v>78</v>
      </c>
      <c r="E450" s="17" t="s">
        <v>420</v>
      </c>
      <c r="F450" s="17" t="s">
        <v>78</v>
      </c>
      <c r="G450" s="17" t="s">
        <v>78</v>
      </c>
      <c r="H450" s="17" t="s">
        <v>78</v>
      </c>
      <c r="I450" s="17" t="s">
        <v>78</v>
      </c>
      <c r="J450" s="17" t="s">
        <v>78</v>
      </c>
      <c r="K450" s="17" t="s">
        <v>78</v>
      </c>
      <c r="L450" s="17" t="s">
        <v>78</v>
      </c>
      <c r="M450" s="17" t="s">
        <v>78</v>
      </c>
      <c r="N450" s="17" t="s">
        <v>78</v>
      </c>
      <c r="O450" s="17"/>
      <c r="P450" s="17" t="s">
        <v>78</v>
      </c>
      <c r="Q450" s="17" t="s">
        <v>78</v>
      </c>
      <c r="R450" s="17" t="s">
        <v>78</v>
      </c>
      <c r="S450" s="18" t="s">
        <v>78</v>
      </c>
    </row>
    <row r="451" spans="1:19" x14ac:dyDescent="0.35">
      <c r="A451" s="81" t="s">
        <v>76</v>
      </c>
      <c r="B451" s="17">
        <v>556880</v>
      </c>
      <c r="C451" s="17">
        <v>17000</v>
      </c>
      <c r="D451" s="17" t="s">
        <v>78</v>
      </c>
      <c r="E451" s="17" t="s">
        <v>421</v>
      </c>
      <c r="F451" s="17" t="s">
        <v>78</v>
      </c>
      <c r="G451" s="17" t="s">
        <v>78</v>
      </c>
      <c r="H451" s="17" t="s">
        <v>78</v>
      </c>
      <c r="I451" s="17" t="s">
        <v>78</v>
      </c>
      <c r="J451" s="17" t="s">
        <v>78</v>
      </c>
      <c r="K451" s="17" t="s">
        <v>78</v>
      </c>
      <c r="L451" s="17" t="s">
        <v>78</v>
      </c>
      <c r="M451" s="17" t="s">
        <v>78</v>
      </c>
      <c r="N451" s="17" t="s">
        <v>78</v>
      </c>
      <c r="O451" s="17"/>
      <c r="P451" s="17" t="s">
        <v>78</v>
      </c>
      <c r="Q451" s="17" t="s">
        <v>78</v>
      </c>
      <c r="R451" s="17" t="s">
        <v>78</v>
      </c>
      <c r="S451" s="18" t="s">
        <v>78</v>
      </c>
    </row>
    <row r="452" spans="1:19" x14ac:dyDescent="0.35">
      <c r="A452" s="81" t="s">
        <v>76</v>
      </c>
      <c r="B452" s="19">
        <v>544160</v>
      </c>
      <c r="C452" s="19">
        <v>17000</v>
      </c>
      <c r="D452" s="19" t="s">
        <v>78</v>
      </c>
      <c r="E452" s="19" t="s">
        <v>562</v>
      </c>
      <c r="F452" s="19" t="s">
        <v>78</v>
      </c>
      <c r="G452" s="19" t="s">
        <v>78</v>
      </c>
      <c r="H452" s="19" t="s">
        <v>78</v>
      </c>
      <c r="I452" s="19" t="s">
        <v>78</v>
      </c>
      <c r="J452" s="19" t="s">
        <v>78</v>
      </c>
      <c r="K452" s="19" t="s">
        <v>78</v>
      </c>
      <c r="L452" s="19" t="s">
        <v>78</v>
      </c>
      <c r="M452" s="19" t="s">
        <v>78</v>
      </c>
      <c r="N452" s="19" t="s">
        <v>78</v>
      </c>
      <c r="O452" s="19"/>
      <c r="P452" s="19" t="s">
        <v>78</v>
      </c>
      <c r="Q452" s="19" t="s">
        <v>78</v>
      </c>
      <c r="R452" s="19" t="s">
        <v>78</v>
      </c>
      <c r="S452" s="20" t="s">
        <v>78</v>
      </c>
    </row>
    <row r="453" spans="1:19" x14ac:dyDescent="0.35">
      <c r="A453" s="81" t="s">
        <v>76</v>
      </c>
      <c r="B453" s="19">
        <v>690080</v>
      </c>
      <c r="C453" s="19">
        <v>17000</v>
      </c>
      <c r="D453" s="19" t="s">
        <v>78</v>
      </c>
      <c r="E453" s="19" t="s">
        <v>346</v>
      </c>
      <c r="F453" s="19" t="s">
        <v>78</v>
      </c>
      <c r="G453" s="19" t="s">
        <v>78</v>
      </c>
      <c r="H453" s="19" t="s">
        <v>78</v>
      </c>
      <c r="I453" s="19" t="s">
        <v>78</v>
      </c>
      <c r="J453" s="19" t="s">
        <v>78</v>
      </c>
      <c r="K453" s="19" t="s">
        <v>78</v>
      </c>
      <c r="L453" s="19" t="s">
        <v>78</v>
      </c>
      <c r="M453" s="19" t="s">
        <v>78</v>
      </c>
      <c r="N453" s="19" t="s">
        <v>78</v>
      </c>
      <c r="O453" s="19"/>
      <c r="P453" s="19" t="s">
        <v>78</v>
      </c>
      <c r="Q453" s="19" t="s">
        <v>78</v>
      </c>
      <c r="R453" s="19" t="s">
        <v>78</v>
      </c>
      <c r="S453" s="20" t="s">
        <v>78</v>
      </c>
    </row>
    <row r="454" spans="1:19" x14ac:dyDescent="0.35">
      <c r="A454" s="81" t="s">
        <v>76</v>
      </c>
      <c r="B454" s="19">
        <v>678520</v>
      </c>
      <c r="C454" s="19">
        <v>17000</v>
      </c>
      <c r="D454" s="19" t="s">
        <v>78</v>
      </c>
      <c r="E454" s="19" t="s">
        <v>421</v>
      </c>
      <c r="F454" s="19" t="s">
        <v>78</v>
      </c>
      <c r="G454" s="19" t="s">
        <v>78</v>
      </c>
      <c r="H454" s="19" t="s">
        <v>78</v>
      </c>
      <c r="I454" s="19" t="s">
        <v>78</v>
      </c>
      <c r="J454" s="19" t="s">
        <v>78</v>
      </c>
      <c r="K454" s="19" t="s">
        <v>78</v>
      </c>
      <c r="L454" s="19" t="s">
        <v>78</v>
      </c>
      <c r="M454" s="19" t="s">
        <v>78</v>
      </c>
      <c r="N454" s="19" t="s">
        <v>78</v>
      </c>
      <c r="O454" s="19"/>
      <c r="P454" s="19" t="s">
        <v>78</v>
      </c>
      <c r="Q454" s="19" t="s">
        <v>78</v>
      </c>
      <c r="R454" s="19" t="s">
        <v>78</v>
      </c>
      <c r="S454" s="20" t="s">
        <v>78</v>
      </c>
    </row>
    <row r="455" spans="1:19" x14ac:dyDescent="0.35">
      <c r="A455" s="81" t="s">
        <v>76</v>
      </c>
      <c r="B455" s="17">
        <v>902080</v>
      </c>
      <c r="C455" s="17">
        <v>17000</v>
      </c>
      <c r="D455" s="17" t="s">
        <v>78</v>
      </c>
      <c r="E455" s="17" t="s">
        <v>346</v>
      </c>
      <c r="F455" s="17" t="s">
        <v>78</v>
      </c>
      <c r="G455" s="17" t="s">
        <v>78</v>
      </c>
      <c r="H455" s="17" t="s">
        <v>78</v>
      </c>
      <c r="I455" s="17" t="s">
        <v>78</v>
      </c>
      <c r="J455" s="17" t="s">
        <v>78</v>
      </c>
      <c r="K455" s="17" t="s">
        <v>78</v>
      </c>
      <c r="L455" s="17" t="s">
        <v>78</v>
      </c>
      <c r="M455" s="17" t="s">
        <v>78</v>
      </c>
      <c r="N455" s="17" t="s">
        <v>78</v>
      </c>
      <c r="O455" s="17"/>
      <c r="P455" s="17" t="s">
        <v>78</v>
      </c>
      <c r="Q455" s="17" t="s">
        <v>78</v>
      </c>
      <c r="R455" s="17" t="s">
        <v>78</v>
      </c>
      <c r="S455" s="18" t="s">
        <v>78</v>
      </c>
    </row>
    <row r="456" spans="1:19" x14ac:dyDescent="0.35">
      <c r="A456" s="81" t="s">
        <v>76</v>
      </c>
      <c r="B456" s="17">
        <v>690080</v>
      </c>
      <c r="C456" s="17">
        <v>17000</v>
      </c>
      <c r="D456" s="17" t="s">
        <v>78</v>
      </c>
      <c r="E456" s="17" t="s">
        <v>420</v>
      </c>
      <c r="F456" s="17" t="s">
        <v>78</v>
      </c>
      <c r="G456" s="17" t="s">
        <v>78</v>
      </c>
      <c r="H456" s="17" t="s">
        <v>78</v>
      </c>
      <c r="I456" s="17" t="s">
        <v>78</v>
      </c>
      <c r="J456" s="17" t="s">
        <v>78</v>
      </c>
      <c r="K456" s="17" t="s">
        <v>78</v>
      </c>
      <c r="L456" s="17" t="s">
        <v>78</v>
      </c>
      <c r="M456" s="17" t="s">
        <v>78</v>
      </c>
      <c r="N456" s="17" t="s">
        <v>78</v>
      </c>
      <c r="O456" s="17"/>
      <c r="P456" s="17" t="s">
        <v>78</v>
      </c>
      <c r="Q456" s="17" t="s">
        <v>78</v>
      </c>
      <c r="R456" s="17" t="s">
        <v>78</v>
      </c>
      <c r="S456" s="18" t="s">
        <v>78</v>
      </c>
    </row>
    <row r="457" spans="1:19" x14ac:dyDescent="0.35">
      <c r="A457" s="81" t="s">
        <v>76</v>
      </c>
      <c r="B457" s="19">
        <v>902080</v>
      </c>
      <c r="C457" s="19">
        <v>17000</v>
      </c>
      <c r="D457" s="19" t="s">
        <v>78</v>
      </c>
      <c r="E457" s="19" t="s">
        <v>420</v>
      </c>
      <c r="F457" s="19" t="s">
        <v>78</v>
      </c>
      <c r="G457" s="19" t="s">
        <v>78</v>
      </c>
      <c r="H457" s="19" t="s">
        <v>78</v>
      </c>
      <c r="I457" s="19" t="s">
        <v>78</v>
      </c>
      <c r="J457" s="19" t="s">
        <v>78</v>
      </c>
      <c r="K457" s="19" t="s">
        <v>78</v>
      </c>
      <c r="L457" s="19" t="s">
        <v>78</v>
      </c>
      <c r="M457" s="19" t="s">
        <v>78</v>
      </c>
      <c r="N457" s="19" t="s">
        <v>78</v>
      </c>
      <c r="O457" s="19"/>
      <c r="P457" s="19" t="s">
        <v>78</v>
      </c>
      <c r="Q457" s="19" t="s">
        <v>78</v>
      </c>
      <c r="R457" s="19" t="s">
        <v>78</v>
      </c>
      <c r="S457" s="20" t="s">
        <v>78</v>
      </c>
    </row>
    <row r="458" spans="1:19" x14ac:dyDescent="0.35">
      <c r="A458" s="81" t="s">
        <v>76</v>
      </c>
      <c r="B458" s="19">
        <v>814080</v>
      </c>
      <c r="C458" s="19">
        <v>17000</v>
      </c>
      <c r="D458" s="19" t="s">
        <v>78</v>
      </c>
      <c r="E458" s="19" t="s">
        <v>415</v>
      </c>
      <c r="F458" s="19" t="s">
        <v>78</v>
      </c>
      <c r="G458" s="19" t="s">
        <v>78</v>
      </c>
      <c r="H458" s="19" t="s">
        <v>78</v>
      </c>
      <c r="I458" s="19" t="s">
        <v>78</v>
      </c>
      <c r="J458" s="19" t="s">
        <v>78</v>
      </c>
      <c r="K458" s="19" t="s">
        <v>78</v>
      </c>
      <c r="L458" s="19" t="s">
        <v>78</v>
      </c>
      <c r="M458" s="19" t="s">
        <v>78</v>
      </c>
      <c r="N458" s="19" t="s">
        <v>78</v>
      </c>
      <c r="O458" s="19"/>
      <c r="P458" s="19" t="s">
        <v>78</v>
      </c>
      <c r="Q458" s="19" t="s">
        <v>78</v>
      </c>
      <c r="R458" s="19" t="s">
        <v>78</v>
      </c>
      <c r="S458" s="20" t="s">
        <v>78</v>
      </c>
    </row>
    <row r="459" spans="1:19" x14ac:dyDescent="0.35">
      <c r="A459" s="81" t="s">
        <v>76</v>
      </c>
      <c r="B459" s="17">
        <v>1194040</v>
      </c>
      <c r="C459" s="17">
        <v>17000</v>
      </c>
      <c r="D459" s="17" t="s">
        <v>78</v>
      </c>
      <c r="E459" s="17" t="s">
        <v>376</v>
      </c>
      <c r="F459" s="17" t="s">
        <v>78</v>
      </c>
      <c r="G459" s="17" t="s">
        <v>78</v>
      </c>
      <c r="H459" s="17" t="s">
        <v>78</v>
      </c>
      <c r="I459" s="17" t="s">
        <v>78</v>
      </c>
      <c r="J459" s="17" t="s">
        <v>78</v>
      </c>
      <c r="K459" s="17" t="s">
        <v>78</v>
      </c>
      <c r="L459" s="17" t="s">
        <v>78</v>
      </c>
      <c r="M459" s="17" t="s">
        <v>78</v>
      </c>
      <c r="N459" s="17" t="s">
        <v>78</v>
      </c>
      <c r="O459" s="17"/>
      <c r="P459" s="17" t="s">
        <v>78</v>
      </c>
      <c r="Q459" s="17" t="s">
        <v>78</v>
      </c>
      <c r="R459" s="17" t="s">
        <v>78</v>
      </c>
      <c r="S459" s="18" t="s">
        <v>78</v>
      </c>
    </row>
    <row r="460" spans="1:19" x14ac:dyDescent="0.35">
      <c r="A460" s="81" t="s">
        <v>76</v>
      </c>
      <c r="B460" s="17">
        <v>814080</v>
      </c>
      <c r="C460" s="17">
        <v>17000</v>
      </c>
      <c r="D460" s="17" t="s">
        <v>78</v>
      </c>
      <c r="E460" s="17" t="s">
        <v>346</v>
      </c>
      <c r="F460" s="17" t="s">
        <v>78</v>
      </c>
      <c r="G460" s="17" t="s">
        <v>78</v>
      </c>
      <c r="H460" s="17" t="s">
        <v>78</v>
      </c>
      <c r="I460" s="17" t="s">
        <v>78</v>
      </c>
      <c r="J460" s="17" t="s">
        <v>78</v>
      </c>
      <c r="K460" s="17" t="s">
        <v>78</v>
      </c>
      <c r="L460" s="17" t="s">
        <v>78</v>
      </c>
      <c r="M460" s="17" t="s">
        <v>78</v>
      </c>
      <c r="N460" s="17" t="s">
        <v>78</v>
      </c>
      <c r="O460" s="17"/>
      <c r="P460" s="17" t="s">
        <v>78</v>
      </c>
      <c r="Q460" s="17" t="s">
        <v>78</v>
      </c>
      <c r="R460" s="17" t="s">
        <v>78</v>
      </c>
      <c r="S460" s="18" t="s">
        <v>78</v>
      </c>
    </row>
    <row r="461" spans="1:19" x14ac:dyDescent="0.35">
      <c r="A461" s="81" t="s">
        <v>76</v>
      </c>
      <c r="B461" s="17">
        <v>1695360</v>
      </c>
      <c r="C461" s="17">
        <v>17000</v>
      </c>
      <c r="D461" s="17" t="s">
        <v>78</v>
      </c>
      <c r="E461" s="17" t="s">
        <v>562</v>
      </c>
      <c r="F461" s="17" t="s">
        <v>78</v>
      </c>
      <c r="G461" s="17" t="s">
        <v>78</v>
      </c>
      <c r="H461" s="17" t="s">
        <v>78</v>
      </c>
      <c r="I461" s="17" t="s">
        <v>78</v>
      </c>
      <c r="J461" s="17" t="s">
        <v>78</v>
      </c>
      <c r="K461" s="17" t="s">
        <v>78</v>
      </c>
      <c r="L461" s="17" t="s">
        <v>78</v>
      </c>
      <c r="M461" s="17" t="s">
        <v>78</v>
      </c>
      <c r="N461" s="17" t="s">
        <v>78</v>
      </c>
      <c r="O461" s="17"/>
      <c r="P461" s="17" t="s">
        <v>78</v>
      </c>
      <c r="Q461" s="17" t="s">
        <v>78</v>
      </c>
      <c r="R461" s="17" t="s">
        <v>78</v>
      </c>
      <c r="S461" s="18" t="s">
        <v>78</v>
      </c>
    </row>
    <row r="462" spans="1:19" x14ac:dyDescent="0.35">
      <c r="A462" s="81" t="s">
        <v>76</v>
      </c>
      <c r="B462" s="17">
        <v>1267320</v>
      </c>
      <c r="C462" s="17">
        <v>17000</v>
      </c>
      <c r="D462" s="17" t="s">
        <v>78</v>
      </c>
      <c r="E462" s="17" t="s">
        <v>376</v>
      </c>
      <c r="F462" s="17" t="s">
        <v>78</v>
      </c>
      <c r="G462" s="17" t="s">
        <v>78</v>
      </c>
      <c r="H462" s="17" t="s">
        <v>78</v>
      </c>
      <c r="I462" s="17" t="s">
        <v>78</v>
      </c>
      <c r="J462" s="17" t="s">
        <v>78</v>
      </c>
      <c r="K462" s="17" t="s">
        <v>78</v>
      </c>
      <c r="L462" s="17" t="s">
        <v>78</v>
      </c>
      <c r="M462" s="17" t="s">
        <v>78</v>
      </c>
      <c r="N462" s="17" t="s">
        <v>78</v>
      </c>
      <c r="O462" s="17"/>
      <c r="P462" s="17" t="s">
        <v>78</v>
      </c>
      <c r="Q462" s="17" t="s">
        <v>78</v>
      </c>
      <c r="R462" s="17" t="s">
        <v>78</v>
      </c>
      <c r="S462" s="18" t="s">
        <v>78</v>
      </c>
    </row>
    <row r="463" spans="1:19" x14ac:dyDescent="0.35">
      <c r="A463" s="81" t="s">
        <v>76</v>
      </c>
      <c r="B463" s="19">
        <v>1267320</v>
      </c>
      <c r="C463" s="19">
        <v>17000</v>
      </c>
      <c r="D463" s="19" t="s">
        <v>78</v>
      </c>
      <c r="E463" s="19" t="s">
        <v>420</v>
      </c>
      <c r="F463" s="19" t="s">
        <v>78</v>
      </c>
      <c r="G463" s="19" t="s">
        <v>78</v>
      </c>
      <c r="H463" s="19" t="s">
        <v>78</v>
      </c>
      <c r="I463" s="19" t="s">
        <v>78</v>
      </c>
      <c r="J463" s="19" t="s">
        <v>78</v>
      </c>
      <c r="K463" s="19" t="s">
        <v>78</v>
      </c>
      <c r="L463" s="19" t="s">
        <v>78</v>
      </c>
      <c r="M463" s="19" t="s">
        <v>78</v>
      </c>
      <c r="N463" s="19" t="s">
        <v>78</v>
      </c>
      <c r="O463" s="19"/>
      <c r="P463" s="19" t="s">
        <v>78</v>
      </c>
      <c r="Q463" s="19" t="s">
        <v>78</v>
      </c>
      <c r="R463" s="19" t="s">
        <v>78</v>
      </c>
      <c r="S463" s="20" t="s">
        <v>78</v>
      </c>
    </row>
    <row r="464" spans="1:19" x14ac:dyDescent="0.35">
      <c r="A464" s="81" t="s">
        <v>76</v>
      </c>
      <c r="B464" s="17">
        <v>293640</v>
      </c>
      <c r="C464" s="17">
        <v>17000</v>
      </c>
      <c r="D464" s="17" t="s">
        <v>78</v>
      </c>
      <c r="E464" s="17" t="s">
        <v>346</v>
      </c>
      <c r="F464" s="17" t="s">
        <v>78</v>
      </c>
      <c r="G464" s="17" t="s">
        <v>78</v>
      </c>
      <c r="H464" s="17" t="s">
        <v>78</v>
      </c>
      <c r="I464" s="17" t="s">
        <v>78</v>
      </c>
      <c r="J464" s="17" t="s">
        <v>78</v>
      </c>
      <c r="K464" s="17" t="s">
        <v>78</v>
      </c>
      <c r="L464" s="17" t="s">
        <v>78</v>
      </c>
      <c r="M464" s="17" t="s">
        <v>78</v>
      </c>
      <c r="N464" s="17" t="s">
        <v>78</v>
      </c>
      <c r="O464" s="17"/>
      <c r="P464" s="17" t="s">
        <v>78</v>
      </c>
      <c r="Q464" s="17" t="s">
        <v>78</v>
      </c>
      <c r="R464" s="17" t="s">
        <v>78</v>
      </c>
      <c r="S464" s="18" t="s">
        <v>78</v>
      </c>
    </row>
    <row r="465" spans="1:19" x14ac:dyDescent="0.35">
      <c r="A465" s="81" t="s">
        <v>76</v>
      </c>
      <c r="B465" s="17">
        <v>479440</v>
      </c>
      <c r="C465" s="17">
        <v>17000</v>
      </c>
      <c r="D465" s="17" t="s">
        <v>78</v>
      </c>
      <c r="E465" s="17" t="s">
        <v>346</v>
      </c>
      <c r="F465" s="17" t="s">
        <v>78</v>
      </c>
      <c r="G465" s="17" t="s">
        <v>78</v>
      </c>
      <c r="H465" s="17" t="s">
        <v>78</v>
      </c>
      <c r="I465" s="17" t="s">
        <v>78</v>
      </c>
      <c r="J465" s="17" t="s">
        <v>78</v>
      </c>
      <c r="K465" s="17" t="s">
        <v>78</v>
      </c>
      <c r="L465" s="17" t="s">
        <v>78</v>
      </c>
      <c r="M465" s="17" t="s">
        <v>78</v>
      </c>
      <c r="N465" s="17" t="s">
        <v>78</v>
      </c>
      <c r="O465" s="17"/>
      <c r="P465" s="17" t="s">
        <v>78</v>
      </c>
      <c r="Q465" s="17" t="s">
        <v>78</v>
      </c>
      <c r="R465" s="17" t="s">
        <v>78</v>
      </c>
      <c r="S465" s="18" t="s">
        <v>78</v>
      </c>
    </row>
    <row r="466" spans="1:19" x14ac:dyDescent="0.35">
      <c r="A466" s="82" t="s">
        <v>76</v>
      </c>
      <c r="B466" s="19">
        <v>1324000</v>
      </c>
      <c r="C466" s="19">
        <v>17000</v>
      </c>
      <c r="D466" s="19" t="s">
        <v>78</v>
      </c>
      <c r="E466" s="19" t="s">
        <v>420</v>
      </c>
      <c r="F466" s="19" t="s">
        <v>78</v>
      </c>
      <c r="G466" s="19" t="s">
        <v>78</v>
      </c>
      <c r="H466" s="19" t="s">
        <v>78</v>
      </c>
      <c r="I466" s="19" t="s">
        <v>78</v>
      </c>
      <c r="J466" s="19" t="s">
        <v>78</v>
      </c>
      <c r="K466" s="19" t="s">
        <v>78</v>
      </c>
      <c r="L466" s="19" t="s">
        <v>78</v>
      </c>
      <c r="M466" s="19" t="s">
        <v>78</v>
      </c>
      <c r="N466" s="19" t="s">
        <v>78</v>
      </c>
      <c r="O466" s="19"/>
      <c r="P466" s="19" t="s">
        <v>78</v>
      </c>
      <c r="Q466" s="19" t="s">
        <v>78</v>
      </c>
      <c r="R466" s="19" t="s">
        <v>78</v>
      </c>
      <c r="S466" s="20" t="s">
        <v>78</v>
      </c>
    </row>
    <row r="467" spans="1:19" x14ac:dyDescent="0.35">
      <c r="A467" s="82" t="s">
        <v>76</v>
      </c>
      <c r="B467" s="19">
        <v>1792120</v>
      </c>
      <c r="C467" s="19">
        <v>17000</v>
      </c>
      <c r="D467" s="19" t="s">
        <v>78</v>
      </c>
      <c r="E467" s="19" t="s">
        <v>420</v>
      </c>
      <c r="F467" s="19" t="s">
        <v>78</v>
      </c>
      <c r="G467" s="19" t="s">
        <v>78</v>
      </c>
      <c r="H467" s="19" t="s">
        <v>78</v>
      </c>
      <c r="I467" s="19" t="s">
        <v>78</v>
      </c>
      <c r="J467" s="19" t="s">
        <v>78</v>
      </c>
      <c r="K467" s="19" t="s">
        <v>78</v>
      </c>
      <c r="L467" s="19" t="s">
        <v>78</v>
      </c>
      <c r="M467" s="19" t="s">
        <v>78</v>
      </c>
      <c r="N467" s="19" t="s">
        <v>78</v>
      </c>
      <c r="O467" s="19"/>
      <c r="P467" s="19" t="s">
        <v>78</v>
      </c>
      <c r="Q467" s="19" t="s">
        <v>78</v>
      </c>
      <c r="R467" s="19" t="s">
        <v>78</v>
      </c>
      <c r="S467" s="20" t="s">
        <v>78</v>
      </c>
    </row>
    <row r="468" spans="1:19" x14ac:dyDescent="0.35">
      <c r="A468" s="82" t="s">
        <v>76</v>
      </c>
      <c r="B468" s="19">
        <v>739360</v>
      </c>
      <c r="C468" s="19">
        <v>17000</v>
      </c>
      <c r="D468" s="19" t="s">
        <v>78</v>
      </c>
      <c r="E468" s="19" t="s">
        <v>439</v>
      </c>
      <c r="F468" s="19" t="s">
        <v>78</v>
      </c>
      <c r="G468" s="19" t="s">
        <v>78</v>
      </c>
      <c r="H468" s="19" t="s">
        <v>78</v>
      </c>
      <c r="I468" s="19" t="s">
        <v>78</v>
      </c>
      <c r="J468" s="19" t="s">
        <v>78</v>
      </c>
      <c r="K468" s="19" t="s">
        <v>78</v>
      </c>
      <c r="L468" s="19" t="s">
        <v>78</v>
      </c>
      <c r="M468" s="19" t="s">
        <v>78</v>
      </c>
      <c r="N468" s="19" t="s">
        <v>78</v>
      </c>
      <c r="O468" s="19"/>
      <c r="P468" s="19" t="s">
        <v>78</v>
      </c>
      <c r="Q468" s="19" t="s">
        <v>78</v>
      </c>
      <c r="R468" s="19" t="s">
        <v>78</v>
      </c>
      <c r="S468" s="20" t="s">
        <v>78</v>
      </c>
    </row>
    <row r="469" spans="1:19" x14ac:dyDescent="0.35">
      <c r="A469" s="82" t="s">
        <v>76</v>
      </c>
      <c r="B469" s="19">
        <v>1044040</v>
      </c>
      <c r="C469" s="19">
        <v>17000</v>
      </c>
      <c r="D469" s="19" t="s">
        <v>78</v>
      </c>
      <c r="E469" s="19" t="s">
        <v>344</v>
      </c>
      <c r="F469" s="19" t="s">
        <v>78</v>
      </c>
      <c r="G469" s="19" t="s">
        <v>78</v>
      </c>
      <c r="H469" s="19" t="s">
        <v>78</v>
      </c>
      <c r="I469" s="19" t="s">
        <v>78</v>
      </c>
      <c r="J469" s="19" t="s">
        <v>78</v>
      </c>
      <c r="K469" s="19" t="s">
        <v>78</v>
      </c>
      <c r="L469" s="19" t="s">
        <v>78</v>
      </c>
      <c r="M469" s="19" t="s">
        <v>78</v>
      </c>
      <c r="N469" s="19" t="s">
        <v>78</v>
      </c>
      <c r="O469" s="19"/>
      <c r="P469" s="19" t="s">
        <v>78</v>
      </c>
      <c r="Q469" s="19" t="s">
        <v>78</v>
      </c>
      <c r="R469" s="19" t="s">
        <v>78</v>
      </c>
      <c r="S469" s="20" t="s">
        <v>78</v>
      </c>
    </row>
    <row r="470" spans="1:19" x14ac:dyDescent="0.35">
      <c r="A470" s="82" t="s">
        <v>76</v>
      </c>
      <c r="B470" s="19">
        <v>1982080</v>
      </c>
      <c r="C470" s="19">
        <v>17000</v>
      </c>
      <c r="D470" s="19" t="s">
        <v>78</v>
      </c>
      <c r="E470" s="19" t="s">
        <v>415</v>
      </c>
      <c r="F470" s="19" t="s">
        <v>78</v>
      </c>
      <c r="G470" s="19" t="s">
        <v>78</v>
      </c>
      <c r="H470" s="19" t="s">
        <v>78</v>
      </c>
      <c r="I470" s="19" t="s">
        <v>78</v>
      </c>
      <c r="J470" s="19" t="s">
        <v>78</v>
      </c>
      <c r="K470" s="19" t="s">
        <v>78</v>
      </c>
      <c r="L470" s="19" t="s">
        <v>78</v>
      </c>
      <c r="M470" s="19" t="s">
        <v>78</v>
      </c>
      <c r="N470" s="19" t="s">
        <v>78</v>
      </c>
      <c r="O470" s="19"/>
      <c r="P470" s="19" t="s">
        <v>78</v>
      </c>
      <c r="Q470" s="19" t="s">
        <v>78</v>
      </c>
      <c r="R470" s="19" t="s">
        <v>78</v>
      </c>
      <c r="S470" s="20" t="s">
        <v>78</v>
      </c>
    </row>
    <row r="471" spans="1:19" x14ac:dyDescent="0.35">
      <c r="A471" s="82" t="s">
        <v>76</v>
      </c>
      <c r="B471" s="19">
        <v>507320</v>
      </c>
      <c r="C471" s="19">
        <v>17000</v>
      </c>
      <c r="D471" s="19" t="s">
        <v>78</v>
      </c>
      <c r="E471" s="19" t="s">
        <v>439</v>
      </c>
      <c r="F471" s="19" t="s">
        <v>78</v>
      </c>
      <c r="G471" s="19" t="s">
        <v>78</v>
      </c>
      <c r="H471" s="19" t="s">
        <v>78</v>
      </c>
      <c r="I471" s="19" t="s">
        <v>78</v>
      </c>
      <c r="J471" s="19" t="s">
        <v>78</v>
      </c>
      <c r="K471" s="19" t="s">
        <v>78</v>
      </c>
      <c r="L471" s="19" t="s">
        <v>78</v>
      </c>
      <c r="M471" s="19" t="s">
        <v>78</v>
      </c>
      <c r="N471" s="19" t="s">
        <v>78</v>
      </c>
      <c r="O471" s="19" t="s">
        <v>78</v>
      </c>
      <c r="P471" s="19" t="s">
        <v>78</v>
      </c>
      <c r="Q471" s="19" t="s">
        <v>78</v>
      </c>
      <c r="R471" s="19" t="s">
        <v>78</v>
      </c>
      <c r="S471" s="20" t="s">
        <v>78</v>
      </c>
    </row>
    <row r="472" spans="1:19" x14ac:dyDescent="0.35">
      <c r="A472" s="82" t="s">
        <v>76</v>
      </c>
      <c r="B472" s="19">
        <v>557640</v>
      </c>
      <c r="C472" s="19">
        <v>17000</v>
      </c>
      <c r="D472" s="19" t="s">
        <v>78</v>
      </c>
      <c r="E472" s="19" t="s">
        <v>421</v>
      </c>
      <c r="F472" s="19" t="s">
        <v>78</v>
      </c>
      <c r="G472" s="19" t="s">
        <v>78</v>
      </c>
      <c r="H472" s="19" t="s">
        <v>78</v>
      </c>
      <c r="I472" s="19" t="s">
        <v>78</v>
      </c>
      <c r="J472" s="19" t="s">
        <v>78</v>
      </c>
      <c r="K472" s="19" t="s">
        <v>78</v>
      </c>
      <c r="L472" s="19" t="s">
        <v>78</v>
      </c>
      <c r="M472" s="19" t="s">
        <v>78</v>
      </c>
      <c r="N472" s="19" t="s">
        <v>78</v>
      </c>
      <c r="O472" s="19" t="s">
        <v>78</v>
      </c>
      <c r="P472" s="19" t="s">
        <v>78</v>
      </c>
      <c r="Q472" s="19" t="s">
        <v>78</v>
      </c>
      <c r="R472" s="19" t="s">
        <v>78</v>
      </c>
      <c r="S472" s="20" t="s">
        <v>78</v>
      </c>
    </row>
    <row r="473" spans="1:19" x14ac:dyDescent="0.35">
      <c r="A473" s="82" t="s">
        <v>76</v>
      </c>
      <c r="B473" s="19">
        <v>1207840</v>
      </c>
      <c r="C473" s="19">
        <v>17000</v>
      </c>
      <c r="D473" s="19" t="s">
        <v>78</v>
      </c>
      <c r="E473" s="19" t="s">
        <v>421</v>
      </c>
      <c r="F473" s="19" t="s">
        <v>78</v>
      </c>
      <c r="G473" s="19" t="s">
        <v>78</v>
      </c>
      <c r="H473" s="19" t="s">
        <v>78</v>
      </c>
      <c r="I473" s="19" t="s">
        <v>78</v>
      </c>
      <c r="J473" s="19" t="s">
        <v>78</v>
      </c>
      <c r="K473" s="19" t="s">
        <v>78</v>
      </c>
      <c r="L473" s="19" t="s">
        <v>78</v>
      </c>
      <c r="M473" s="19" t="s">
        <v>78</v>
      </c>
      <c r="N473" s="19" t="s">
        <v>78</v>
      </c>
      <c r="O473" s="19" t="s">
        <v>78</v>
      </c>
      <c r="P473" s="19" t="s">
        <v>78</v>
      </c>
      <c r="Q473" s="19" t="s">
        <v>78</v>
      </c>
      <c r="R473" s="19" t="s">
        <v>78</v>
      </c>
      <c r="S473" s="20" t="s">
        <v>78</v>
      </c>
    </row>
    <row r="474" spans="1:19" x14ac:dyDescent="0.35">
      <c r="A474" s="82" t="s">
        <v>76</v>
      </c>
      <c r="B474" s="19">
        <v>1612680</v>
      </c>
      <c r="C474" s="19">
        <v>17000</v>
      </c>
      <c r="D474" s="19" t="s">
        <v>78</v>
      </c>
      <c r="E474" s="19" t="s">
        <v>421</v>
      </c>
      <c r="F474" s="19" t="s">
        <v>78</v>
      </c>
      <c r="G474" s="19" t="s">
        <v>78</v>
      </c>
      <c r="H474" s="19" t="s">
        <v>78</v>
      </c>
      <c r="I474" s="19" t="s">
        <v>78</v>
      </c>
      <c r="J474" s="19" t="s">
        <v>78</v>
      </c>
      <c r="K474" s="19" t="s">
        <v>78</v>
      </c>
      <c r="L474" s="19" t="s">
        <v>78</v>
      </c>
      <c r="M474" s="19" t="s">
        <v>78</v>
      </c>
      <c r="N474" s="19" t="s">
        <v>78</v>
      </c>
      <c r="O474" s="19" t="s">
        <v>78</v>
      </c>
      <c r="P474" s="19" t="s">
        <v>78</v>
      </c>
      <c r="Q474" s="19" t="s">
        <v>78</v>
      </c>
      <c r="R474" s="19" t="s">
        <v>78</v>
      </c>
      <c r="S474" s="20" t="s">
        <v>78</v>
      </c>
    </row>
    <row r="475" spans="1:19" x14ac:dyDescent="0.35">
      <c r="A475" s="82" t="s">
        <v>76</v>
      </c>
      <c r="B475" s="19">
        <v>90320</v>
      </c>
      <c r="C475" s="19">
        <v>17000</v>
      </c>
      <c r="D475" s="19" t="s">
        <v>78</v>
      </c>
      <c r="E475" s="19" t="s">
        <v>346</v>
      </c>
      <c r="F475" s="19" t="s">
        <v>78</v>
      </c>
      <c r="G475" s="19" t="s">
        <v>78</v>
      </c>
      <c r="H475" s="19" t="s">
        <v>78</v>
      </c>
      <c r="I475" s="19" t="s">
        <v>78</v>
      </c>
      <c r="J475" s="19" t="s">
        <v>78</v>
      </c>
      <c r="K475" s="19" t="s">
        <v>78</v>
      </c>
      <c r="L475" s="19" t="s">
        <v>78</v>
      </c>
      <c r="M475" s="19" t="s">
        <v>78</v>
      </c>
      <c r="N475" s="19" t="s">
        <v>78</v>
      </c>
      <c r="O475" s="19" t="s">
        <v>78</v>
      </c>
      <c r="P475" s="19" t="s">
        <v>78</v>
      </c>
      <c r="Q475" s="19" t="s">
        <v>78</v>
      </c>
      <c r="R475" s="19" t="s">
        <v>78</v>
      </c>
      <c r="S475" s="20" t="s">
        <v>78</v>
      </c>
    </row>
    <row r="476" spans="1:19" x14ac:dyDescent="0.35">
      <c r="A476" s="82" t="s">
        <v>76</v>
      </c>
      <c r="B476" s="19">
        <v>263160</v>
      </c>
      <c r="C476" s="19">
        <v>17000</v>
      </c>
      <c r="D476" s="19" t="s">
        <v>78</v>
      </c>
      <c r="E476" s="19" t="s">
        <v>348</v>
      </c>
      <c r="F476" s="19" t="s">
        <v>78</v>
      </c>
      <c r="G476" s="19" t="s">
        <v>78</v>
      </c>
      <c r="H476" s="19" t="s">
        <v>78</v>
      </c>
      <c r="I476" s="19" t="s">
        <v>78</v>
      </c>
      <c r="J476" s="19" t="s">
        <v>78</v>
      </c>
      <c r="K476" s="19" t="s">
        <v>78</v>
      </c>
      <c r="L476" s="19" t="s">
        <v>78</v>
      </c>
      <c r="M476" s="19" t="s">
        <v>78</v>
      </c>
      <c r="N476" s="19" t="s">
        <v>78</v>
      </c>
      <c r="O476" s="19" t="s">
        <v>78</v>
      </c>
      <c r="P476" s="19" t="s">
        <v>78</v>
      </c>
      <c r="Q476" s="19" t="s">
        <v>78</v>
      </c>
      <c r="R476" s="19" t="s">
        <v>78</v>
      </c>
      <c r="S476" s="20" t="s">
        <v>78</v>
      </c>
    </row>
    <row r="477" spans="1:19" x14ac:dyDescent="0.35">
      <c r="A477" s="82" t="s">
        <v>76</v>
      </c>
      <c r="B477" s="19">
        <v>62560</v>
      </c>
      <c r="C477" s="19">
        <v>17000</v>
      </c>
      <c r="D477" s="19" t="s">
        <v>78</v>
      </c>
      <c r="E477" s="19" t="s">
        <v>346</v>
      </c>
      <c r="F477" s="19" t="s">
        <v>78</v>
      </c>
      <c r="G477" s="19" t="s">
        <v>78</v>
      </c>
      <c r="H477" s="19" t="s">
        <v>78</v>
      </c>
      <c r="I477" s="19" t="s">
        <v>78</v>
      </c>
      <c r="J477" s="19" t="s">
        <v>78</v>
      </c>
      <c r="K477" s="19" t="s">
        <v>78</v>
      </c>
      <c r="L477" s="19" t="s">
        <v>78</v>
      </c>
      <c r="M477" s="19" t="s">
        <v>78</v>
      </c>
      <c r="N477" s="19" t="s">
        <v>78</v>
      </c>
      <c r="O477" s="19" t="s">
        <v>78</v>
      </c>
      <c r="P477" s="19" t="s">
        <v>78</v>
      </c>
      <c r="Q477" s="19" t="s">
        <v>78</v>
      </c>
      <c r="R477" s="19" t="s">
        <v>78</v>
      </c>
      <c r="S477" s="20" t="s">
        <v>78</v>
      </c>
    </row>
    <row r="478" spans="1:19" x14ac:dyDescent="0.35">
      <c r="A478" s="82" t="s">
        <v>76</v>
      </c>
      <c r="B478" s="19">
        <v>767160</v>
      </c>
      <c r="C478" s="19">
        <v>17000</v>
      </c>
      <c r="D478" s="19" t="s">
        <v>78</v>
      </c>
      <c r="E478" s="19" t="s">
        <v>346</v>
      </c>
      <c r="F478" s="19" t="s">
        <v>78</v>
      </c>
      <c r="G478" s="19" t="s">
        <v>78</v>
      </c>
      <c r="H478" s="19" t="s">
        <v>78</v>
      </c>
      <c r="I478" s="19" t="s">
        <v>78</v>
      </c>
      <c r="J478" s="19" t="s">
        <v>78</v>
      </c>
      <c r="K478" s="19" t="s">
        <v>78</v>
      </c>
      <c r="L478" s="19" t="s">
        <v>78</v>
      </c>
      <c r="M478" s="19" t="s">
        <v>78</v>
      </c>
      <c r="N478" s="19" t="s">
        <v>78</v>
      </c>
      <c r="O478" s="19" t="s">
        <v>78</v>
      </c>
      <c r="P478" s="19" t="s">
        <v>78</v>
      </c>
      <c r="Q478" s="19" t="s">
        <v>78</v>
      </c>
      <c r="R478" s="19" t="s">
        <v>78</v>
      </c>
      <c r="S478" s="20" t="s">
        <v>78</v>
      </c>
    </row>
    <row r="479" spans="1:19" x14ac:dyDescent="0.35">
      <c r="A479" s="82" t="s">
        <v>135</v>
      </c>
      <c r="B479" s="19">
        <v>454080</v>
      </c>
      <c r="C479" s="19">
        <v>17000</v>
      </c>
      <c r="D479" s="19" t="s">
        <v>78</v>
      </c>
      <c r="E479" s="19" t="s">
        <v>348</v>
      </c>
      <c r="F479" s="19" t="s">
        <v>78</v>
      </c>
      <c r="G479" s="19" t="s">
        <v>78</v>
      </c>
      <c r="H479" s="19" t="s">
        <v>78</v>
      </c>
      <c r="I479" s="19" t="s">
        <v>78</v>
      </c>
      <c r="J479" s="19" t="s">
        <v>78</v>
      </c>
      <c r="K479" s="19" t="s">
        <v>78</v>
      </c>
      <c r="L479" s="19" t="s">
        <v>78</v>
      </c>
      <c r="M479" s="19" t="s">
        <v>78</v>
      </c>
      <c r="N479" s="19" t="s">
        <v>350</v>
      </c>
      <c r="O479" s="19"/>
      <c r="P479" s="19" t="s">
        <v>78</v>
      </c>
      <c r="Q479" s="19" t="s">
        <v>78</v>
      </c>
      <c r="R479" s="19" t="s">
        <v>78</v>
      </c>
      <c r="S479" s="20" t="s">
        <v>78</v>
      </c>
    </row>
    <row r="480" spans="1:19" x14ac:dyDescent="0.35">
      <c r="A480" s="82" t="s">
        <v>135</v>
      </c>
      <c r="B480" s="19">
        <v>596720</v>
      </c>
      <c r="C480" s="19">
        <v>17000</v>
      </c>
      <c r="D480" s="19" t="s">
        <v>78</v>
      </c>
      <c r="E480" s="19" t="s">
        <v>348</v>
      </c>
      <c r="F480" s="19" t="s">
        <v>78</v>
      </c>
      <c r="G480" s="19" t="s">
        <v>78</v>
      </c>
      <c r="H480" s="19" t="s">
        <v>78</v>
      </c>
      <c r="I480" s="19" t="s">
        <v>78</v>
      </c>
      <c r="J480" s="19" t="s">
        <v>78</v>
      </c>
      <c r="K480" s="19" t="s">
        <v>78</v>
      </c>
      <c r="L480" s="19" t="s">
        <v>78</v>
      </c>
      <c r="M480" s="19" t="s">
        <v>78</v>
      </c>
      <c r="N480" s="19" t="s">
        <v>161</v>
      </c>
      <c r="O480" s="19"/>
      <c r="P480" s="19" t="s">
        <v>78</v>
      </c>
      <c r="Q480" s="19" t="s">
        <v>78</v>
      </c>
      <c r="R480" s="19" t="s">
        <v>78</v>
      </c>
      <c r="S480" s="20" t="s">
        <v>78</v>
      </c>
    </row>
    <row r="481" spans="1:19" x14ac:dyDescent="0.35">
      <c r="A481" s="81" t="s">
        <v>135</v>
      </c>
      <c r="B481" s="17">
        <v>287440</v>
      </c>
      <c r="C481" s="17">
        <v>17000</v>
      </c>
      <c r="D481" s="17" t="s">
        <v>78</v>
      </c>
      <c r="E481" s="17" t="s">
        <v>346</v>
      </c>
      <c r="F481" s="17" t="s">
        <v>78</v>
      </c>
      <c r="G481" s="17" t="s">
        <v>78</v>
      </c>
      <c r="H481" s="17" t="s">
        <v>78</v>
      </c>
      <c r="I481" s="17" t="s">
        <v>78</v>
      </c>
      <c r="J481" s="17" t="s">
        <v>78</v>
      </c>
      <c r="K481" s="17" t="s">
        <v>78</v>
      </c>
      <c r="L481" s="17" t="s">
        <v>78</v>
      </c>
      <c r="M481" s="17" t="s">
        <v>78</v>
      </c>
      <c r="N481" s="17" t="s">
        <v>153</v>
      </c>
      <c r="O481" s="17"/>
      <c r="P481" s="17" t="s">
        <v>78</v>
      </c>
      <c r="Q481" s="17" t="s">
        <v>78</v>
      </c>
      <c r="R481" s="17" t="s">
        <v>78</v>
      </c>
      <c r="S481" s="18" t="s">
        <v>78</v>
      </c>
    </row>
    <row r="482" spans="1:19" x14ac:dyDescent="0.35">
      <c r="A482" s="82" t="s">
        <v>135</v>
      </c>
      <c r="B482" s="19">
        <v>255840</v>
      </c>
      <c r="C482" s="19">
        <v>17000</v>
      </c>
      <c r="D482" s="19" t="s">
        <v>78</v>
      </c>
      <c r="E482" s="19" t="s">
        <v>348</v>
      </c>
      <c r="F482" s="19" t="s">
        <v>78</v>
      </c>
      <c r="G482" s="19" t="s">
        <v>78</v>
      </c>
      <c r="H482" s="19" t="s">
        <v>78</v>
      </c>
      <c r="I482" s="19" t="s">
        <v>78</v>
      </c>
      <c r="J482" s="19" t="s">
        <v>78</v>
      </c>
      <c r="K482" s="19" t="s">
        <v>78</v>
      </c>
      <c r="L482" s="19" t="s">
        <v>78</v>
      </c>
      <c r="M482" s="19" t="s">
        <v>78</v>
      </c>
      <c r="N482" s="19" t="s">
        <v>161</v>
      </c>
      <c r="O482" s="19"/>
      <c r="P482" s="19" t="s">
        <v>78</v>
      </c>
      <c r="Q482" s="19" t="s">
        <v>78</v>
      </c>
      <c r="R482" s="19" t="s">
        <v>78</v>
      </c>
      <c r="S482" s="20" t="s">
        <v>78</v>
      </c>
    </row>
    <row r="483" spans="1:19" x14ac:dyDescent="0.35">
      <c r="A483" s="82" t="s">
        <v>135</v>
      </c>
      <c r="B483" s="19">
        <v>319880</v>
      </c>
      <c r="C483" s="19">
        <v>17000</v>
      </c>
      <c r="D483" s="19" t="s">
        <v>78</v>
      </c>
      <c r="E483" s="19" t="s">
        <v>562</v>
      </c>
      <c r="F483" s="19" t="s">
        <v>78</v>
      </c>
      <c r="G483" s="19" t="s">
        <v>78</v>
      </c>
      <c r="H483" s="19" t="s">
        <v>78</v>
      </c>
      <c r="I483" s="19" t="s">
        <v>78</v>
      </c>
      <c r="J483" s="19" t="s">
        <v>78</v>
      </c>
      <c r="K483" s="19" t="s">
        <v>78</v>
      </c>
      <c r="L483" s="19" t="s">
        <v>78</v>
      </c>
      <c r="M483" s="19" t="s">
        <v>78</v>
      </c>
      <c r="N483" s="19" t="s">
        <v>191</v>
      </c>
      <c r="O483" s="19" t="s">
        <v>78</v>
      </c>
      <c r="P483" s="19" t="s">
        <v>78</v>
      </c>
      <c r="Q483" s="19" t="s">
        <v>78</v>
      </c>
      <c r="R483" s="19" t="s">
        <v>78</v>
      </c>
      <c r="S483" s="20" t="s">
        <v>78</v>
      </c>
    </row>
    <row r="484" spans="1:19" x14ac:dyDescent="0.35">
      <c r="A484" s="81" t="s">
        <v>243</v>
      </c>
      <c r="B484" s="17">
        <v>337960</v>
      </c>
      <c r="C484" s="17">
        <v>17000</v>
      </c>
      <c r="D484" s="17" t="s">
        <v>78</v>
      </c>
      <c r="E484" s="17" t="s">
        <v>347</v>
      </c>
      <c r="F484" s="17" t="s">
        <v>78</v>
      </c>
      <c r="G484" s="17" t="s">
        <v>78</v>
      </c>
      <c r="H484" s="17" t="s">
        <v>78</v>
      </c>
      <c r="I484" s="17" t="s">
        <v>78</v>
      </c>
      <c r="J484" s="17" t="s">
        <v>78</v>
      </c>
      <c r="K484" s="17" t="s">
        <v>78</v>
      </c>
      <c r="L484" s="17" t="s">
        <v>78</v>
      </c>
      <c r="M484" s="17" t="s">
        <v>78</v>
      </c>
      <c r="N484" s="17" t="s">
        <v>153</v>
      </c>
      <c r="O484" s="17"/>
      <c r="P484" s="17" t="s">
        <v>78</v>
      </c>
      <c r="Q484" s="17" t="s">
        <v>78</v>
      </c>
      <c r="R484" s="17" t="s">
        <v>78</v>
      </c>
      <c r="S484" s="18" t="s">
        <v>78</v>
      </c>
    </row>
    <row r="485" spans="1:19" x14ac:dyDescent="0.35">
      <c r="A485" s="81" t="s">
        <v>243</v>
      </c>
      <c r="B485" s="17">
        <v>939280</v>
      </c>
      <c r="C485" s="17">
        <v>17000</v>
      </c>
      <c r="D485" s="17" t="s">
        <v>78</v>
      </c>
      <c r="E485" s="17" t="s">
        <v>563</v>
      </c>
      <c r="F485" s="17" t="s">
        <v>78</v>
      </c>
      <c r="G485" s="17" t="s">
        <v>78</v>
      </c>
      <c r="H485" s="17" t="s">
        <v>78</v>
      </c>
      <c r="I485" s="17" t="s">
        <v>78</v>
      </c>
      <c r="J485" s="17" t="s">
        <v>78</v>
      </c>
      <c r="K485" s="17" t="s">
        <v>78</v>
      </c>
      <c r="L485" s="17" t="s">
        <v>78</v>
      </c>
      <c r="M485" s="17" t="s">
        <v>78</v>
      </c>
      <c r="N485" s="17" t="s">
        <v>350</v>
      </c>
      <c r="O485" s="17"/>
      <c r="P485" s="17" t="s">
        <v>78</v>
      </c>
      <c r="Q485" s="17" t="s">
        <v>78</v>
      </c>
      <c r="R485" s="17" t="s">
        <v>78</v>
      </c>
      <c r="S485" s="18" t="s">
        <v>78</v>
      </c>
    </row>
    <row r="486" spans="1:19" x14ac:dyDescent="0.35">
      <c r="A486" s="82" t="s">
        <v>243</v>
      </c>
      <c r="B486" s="19">
        <v>1119480</v>
      </c>
      <c r="C486" s="19">
        <v>17000</v>
      </c>
      <c r="D486" s="19" t="s">
        <v>78</v>
      </c>
      <c r="E486" s="19" t="s">
        <v>377</v>
      </c>
      <c r="F486" s="19" t="s">
        <v>78</v>
      </c>
      <c r="G486" s="19" t="s">
        <v>78</v>
      </c>
      <c r="H486" s="19" t="s">
        <v>78</v>
      </c>
      <c r="I486" s="19" t="s">
        <v>78</v>
      </c>
      <c r="J486" s="19" t="s">
        <v>78</v>
      </c>
      <c r="K486" s="19" t="s">
        <v>78</v>
      </c>
      <c r="L486" s="19" t="s">
        <v>78</v>
      </c>
      <c r="M486" s="19" t="s">
        <v>78</v>
      </c>
      <c r="N486" s="19" t="s">
        <v>75</v>
      </c>
      <c r="O486" s="19"/>
      <c r="P486" s="19" t="s">
        <v>78</v>
      </c>
      <c r="Q486" s="19" t="s">
        <v>78</v>
      </c>
      <c r="R486" s="19" t="s">
        <v>78</v>
      </c>
      <c r="S486" s="20" t="s">
        <v>78</v>
      </c>
    </row>
    <row r="487" spans="1:19" x14ac:dyDescent="0.35">
      <c r="A487" s="82" t="s">
        <v>243</v>
      </c>
      <c r="B487" s="19">
        <v>1108600</v>
      </c>
      <c r="C487" s="19">
        <v>17000</v>
      </c>
      <c r="D487" s="19" t="s">
        <v>78</v>
      </c>
      <c r="E487" s="19" t="s">
        <v>376</v>
      </c>
      <c r="F487" s="19" t="s">
        <v>78</v>
      </c>
      <c r="G487" s="19" t="s">
        <v>78</v>
      </c>
      <c r="H487" s="19" t="s">
        <v>78</v>
      </c>
      <c r="I487" s="19" t="s">
        <v>78</v>
      </c>
      <c r="J487" s="19" t="s">
        <v>78</v>
      </c>
      <c r="K487" s="19" t="s">
        <v>78</v>
      </c>
      <c r="L487" s="19" t="s">
        <v>78</v>
      </c>
      <c r="M487" s="19" t="s">
        <v>78</v>
      </c>
      <c r="N487" s="19" t="s">
        <v>161</v>
      </c>
      <c r="O487" s="19" t="s">
        <v>78</v>
      </c>
      <c r="P487" s="19" t="s">
        <v>78</v>
      </c>
      <c r="Q487" s="19" t="s">
        <v>78</v>
      </c>
      <c r="R487" s="19" t="s">
        <v>78</v>
      </c>
      <c r="S487" s="20" t="s">
        <v>78</v>
      </c>
    </row>
    <row r="488" spans="1:19" x14ac:dyDescent="0.35">
      <c r="A488" s="82" t="s">
        <v>245</v>
      </c>
      <c r="B488" s="19">
        <v>424800</v>
      </c>
      <c r="C488" s="19">
        <v>17000</v>
      </c>
      <c r="D488" s="19" t="s">
        <v>78</v>
      </c>
      <c r="E488" s="19" t="s">
        <v>420</v>
      </c>
      <c r="F488" s="19" t="s">
        <v>78</v>
      </c>
      <c r="G488" s="19" t="s">
        <v>78</v>
      </c>
      <c r="H488" s="19" t="s">
        <v>78</v>
      </c>
      <c r="I488" s="19" t="s">
        <v>78</v>
      </c>
      <c r="J488" s="19" t="s">
        <v>78</v>
      </c>
      <c r="K488" s="19" t="s">
        <v>78</v>
      </c>
      <c r="L488" s="19" t="s">
        <v>78</v>
      </c>
      <c r="M488" s="19" t="s">
        <v>78</v>
      </c>
      <c r="N488" s="19" t="s">
        <v>350</v>
      </c>
      <c r="O488" s="19"/>
      <c r="P488" s="19" t="s">
        <v>78</v>
      </c>
      <c r="Q488" s="19" t="s">
        <v>78</v>
      </c>
      <c r="R488" s="19" t="s">
        <v>78</v>
      </c>
      <c r="S488" s="20" t="s">
        <v>78</v>
      </c>
    </row>
    <row r="489" spans="1:19" x14ac:dyDescent="0.35">
      <c r="A489" s="82" t="s">
        <v>245</v>
      </c>
      <c r="B489" s="19">
        <v>1149200</v>
      </c>
      <c r="C489" s="19">
        <v>17000</v>
      </c>
      <c r="D489" s="19" t="s">
        <v>78</v>
      </c>
      <c r="E489" s="19" t="s">
        <v>563</v>
      </c>
      <c r="F489" s="19" t="s">
        <v>78</v>
      </c>
      <c r="G489" s="19" t="s">
        <v>78</v>
      </c>
      <c r="H489" s="19" t="s">
        <v>78</v>
      </c>
      <c r="I489" s="19" t="s">
        <v>78</v>
      </c>
      <c r="J489" s="19" t="s">
        <v>78</v>
      </c>
      <c r="K489" s="19" t="s">
        <v>78</v>
      </c>
      <c r="L489" s="19" t="s">
        <v>78</v>
      </c>
      <c r="M489" s="19" t="s">
        <v>78</v>
      </c>
      <c r="N489" s="19" t="s">
        <v>350</v>
      </c>
      <c r="O489" s="19"/>
      <c r="P489" s="19" t="s">
        <v>78</v>
      </c>
      <c r="Q489" s="19" t="s">
        <v>78</v>
      </c>
      <c r="R489" s="19" t="s">
        <v>78</v>
      </c>
      <c r="S489" s="20" t="s">
        <v>78</v>
      </c>
    </row>
    <row r="490" spans="1:19" x14ac:dyDescent="0.35">
      <c r="A490" s="82" t="s">
        <v>245</v>
      </c>
      <c r="B490" s="19">
        <v>1119480</v>
      </c>
      <c r="C490" s="19">
        <v>17000</v>
      </c>
      <c r="D490" s="19" t="s">
        <v>78</v>
      </c>
      <c r="E490" s="19" t="s">
        <v>562</v>
      </c>
      <c r="F490" s="19" t="s">
        <v>78</v>
      </c>
      <c r="G490" s="19" t="s">
        <v>78</v>
      </c>
      <c r="H490" s="19" t="s">
        <v>78</v>
      </c>
      <c r="I490" s="19" t="s">
        <v>78</v>
      </c>
      <c r="J490" s="19" t="s">
        <v>78</v>
      </c>
      <c r="K490" s="19" t="s">
        <v>78</v>
      </c>
      <c r="L490" s="19" t="s">
        <v>78</v>
      </c>
      <c r="M490" s="19" t="s">
        <v>78</v>
      </c>
      <c r="N490" s="19" t="s">
        <v>75</v>
      </c>
      <c r="O490" s="19"/>
      <c r="P490" s="19" t="s">
        <v>78</v>
      </c>
      <c r="Q490" s="19" t="s">
        <v>78</v>
      </c>
      <c r="R490" s="19" t="s">
        <v>78</v>
      </c>
      <c r="S490" s="20" t="s">
        <v>78</v>
      </c>
    </row>
    <row r="491" spans="1:19" x14ac:dyDescent="0.35">
      <c r="A491" s="82" t="s">
        <v>245</v>
      </c>
      <c r="B491" s="19">
        <v>1580960</v>
      </c>
      <c r="C491" s="19">
        <v>17000</v>
      </c>
      <c r="D491" s="19" t="s">
        <v>78</v>
      </c>
      <c r="E491" s="19" t="s">
        <v>346</v>
      </c>
      <c r="F491" s="19" t="s">
        <v>78</v>
      </c>
      <c r="G491" s="19" t="s">
        <v>78</v>
      </c>
      <c r="H491" s="19" t="s">
        <v>78</v>
      </c>
      <c r="I491" s="19" t="s">
        <v>78</v>
      </c>
      <c r="J491" s="19" t="s">
        <v>78</v>
      </c>
      <c r="K491" s="19" t="s">
        <v>78</v>
      </c>
      <c r="L491" s="19" t="s">
        <v>78</v>
      </c>
      <c r="M491" s="19" t="s">
        <v>78</v>
      </c>
      <c r="N491" s="19" t="s">
        <v>350</v>
      </c>
      <c r="O491" s="19" t="s">
        <v>78</v>
      </c>
      <c r="P491" s="19" t="s">
        <v>78</v>
      </c>
      <c r="Q491" s="19" t="s">
        <v>78</v>
      </c>
      <c r="R491" s="19" t="s">
        <v>78</v>
      </c>
      <c r="S491" s="20" t="s">
        <v>78</v>
      </c>
    </row>
    <row r="492" spans="1:19" x14ac:dyDescent="0.35">
      <c r="A492" s="81" t="s">
        <v>246</v>
      </c>
      <c r="B492" s="17">
        <v>131120</v>
      </c>
      <c r="C492" s="17">
        <v>17000</v>
      </c>
      <c r="D492" s="17" t="s">
        <v>78</v>
      </c>
      <c r="E492" s="17" t="s">
        <v>344</v>
      </c>
      <c r="F492" s="17" t="s">
        <v>78</v>
      </c>
      <c r="G492" s="17" t="s">
        <v>78</v>
      </c>
      <c r="H492" s="17" t="s">
        <v>78</v>
      </c>
      <c r="I492" s="17" t="s">
        <v>78</v>
      </c>
      <c r="J492" s="17" t="s">
        <v>78</v>
      </c>
      <c r="K492" s="17" t="s">
        <v>78</v>
      </c>
      <c r="L492" s="17" t="s">
        <v>78</v>
      </c>
      <c r="M492" s="17" t="s">
        <v>78</v>
      </c>
      <c r="N492" s="17" t="s">
        <v>350</v>
      </c>
      <c r="O492" s="17"/>
      <c r="P492" s="17" t="s">
        <v>78</v>
      </c>
      <c r="Q492" s="17" t="s">
        <v>78</v>
      </c>
      <c r="R492" s="17" t="s">
        <v>78</v>
      </c>
      <c r="S492" s="18" t="s">
        <v>78</v>
      </c>
    </row>
    <row r="493" spans="1:19" x14ac:dyDescent="0.35">
      <c r="A493" s="81" t="s">
        <v>246</v>
      </c>
      <c r="B493" s="17">
        <v>1149200</v>
      </c>
      <c r="C493" s="17">
        <v>17000</v>
      </c>
      <c r="D493" s="17" t="s">
        <v>78</v>
      </c>
      <c r="E493" s="17" t="s">
        <v>377</v>
      </c>
      <c r="F493" s="17" t="s">
        <v>78</v>
      </c>
      <c r="G493" s="17" t="s">
        <v>78</v>
      </c>
      <c r="H493" s="17" t="s">
        <v>78</v>
      </c>
      <c r="I493" s="17" t="s">
        <v>78</v>
      </c>
      <c r="J493" s="17" t="s">
        <v>78</v>
      </c>
      <c r="K493" s="17" t="s">
        <v>78</v>
      </c>
      <c r="L493" s="17" t="s">
        <v>78</v>
      </c>
      <c r="M493" s="17" t="s">
        <v>78</v>
      </c>
      <c r="N493" s="17" t="s">
        <v>191</v>
      </c>
      <c r="O493" s="17"/>
      <c r="P493" s="17" t="s">
        <v>78</v>
      </c>
      <c r="Q493" s="17" t="s">
        <v>78</v>
      </c>
      <c r="R493" s="17" t="s">
        <v>78</v>
      </c>
      <c r="S493" s="18" t="s">
        <v>78</v>
      </c>
    </row>
    <row r="494" spans="1:19" x14ac:dyDescent="0.35">
      <c r="A494" s="82" t="s">
        <v>246</v>
      </c>
      <c r="B494" s="19">
        <v>1990640</v>
      </c>
      <c r="C494" s="19">
        <v>17000</v>
      </c>
      <c r="D494" s="19" t="s">
        <v>78</v>
      </c>
      <c r="E494" s="19" t="s">
        <v>347</v>
      </c>
      <c r="F494" s="19" t="s">
        <v>78</v>
      </c>
      <c r="G494" s="19" t="s">
        <v>78</v>
      </c>
      <c r="H494" s="19" t="s">
        <v>78</v>
      </c>
      <c r="I494" s="19" t="s">
        <v>78</v>
      </c>
      <c r="J494" s="19" t="s">
        <v>78</v>
      </c>
      <c r="K494" s="19" t="s">
        <v>78</v>
      </c>
      <c r="L494" s="19" t="s">
        <v>78</v>
      </c>
      <c r="M494" s="19" t="s">
        <v>78</v>
      </c>
      <c r="N494" s="19" t="s">
        <v>188</v>
      </c>
      <c r="O494" s="19"/>
      <c r="P494" s="19" t="s">
        <v>78</v>
      </c>
      <c r="Q494" s="19" t="s">
        <v>78</v>
      </c>
      <c r="R494" s="19" t="s">
        <v>78</v>
      </c>
      <c r="S494" s="20" t="s">
        <v>78</v>
      </c>
    </row>
    <row r="495" spans="1:19" x14ac:dyDescent="0.35">
      <c r="A495" s="82" t="s">
        <v>246</v>
      </c>
      <c r="B495" s="19">
        <v>1653520</v>
      </c>
      <c r="C495" s="19">
        <v>17000</v>
      </c>
      <c r="D495" s="19" t="s">
        <v>78</v>
      </c>
      <c r="E495" s="19" t="s">
        <v>421</v>
      </c>
      <c r="F495" s="19" t="s">
        <v>78</v>
      </c>
      <c r="G495" s="19" t="s">
        <v>78</v>
      </c>
      <c r="H495" s="19" t="s">
        <v>78</v>
      </c>
      <c r="I495" s="19" t="s">
        <v>78</v>
      </c>
      <c r="J495" s="19" t="s">
        <v>78</v>
      </c>
      <c r="K495" s="19" t="s">
        <v>78</v>
      </c>
      <c r="L495" s="19" t="s">
        <v>78</v>
      </c>
      <c r="M495" s="19" t="s">
        <v>78</v>
      </c>
      <c r="N495" s="19" t="s">
        <v>349</v>
      </c>
      <c r="O495" s="19" t="s">
        <v>78</v>
      </c>
      <c r="P495" s="19" t="s">
        <v>78</v>
      </c>
      <c r="Q495" s="19" t="s">
        <v>78</v>
      </c>
      <c r="R495" s="19" t="s">
        <v>78</v>
      </c>
      <c r="S495" s="20" t="s">
        <v>78</v>
      </c>
    </row>
    <row r="496" spans="1:19" x14ac:dyDescent="0.35">
      <c r="A496" s="82" t="s">
        <v>247</v>
      </c>
      <c r="B496" s="19">
        <v>311320</v>
      </c>
      <c r="C496" s="19">
        <v>17000</v>
      </c>
      <c r="D496" s="19" t="s">
        <v>78</v>
      </c>
      <c r="E496" s="19" t="s">
        <v>377</v>
      </c>
      <c r="F496" s="19" t="s">
        <v>78</v>
      </c>
      <c r="G496" s="19" t="s">
        <v>78</v>
      </c>
      <c r="H496" s="19" t="s">
        <v>78</v>
      </c>
      <c r="I496" s="19" t="s">
        <v>78</v>
      </c>
      <c r="J496" s="19" t="s">
        <v>78</v>
      </c>
      <c r="K496" s="19" t="s">
        <v>78</v>
      </c>
      <c r="L496" s="19" t="s">
        <v>78</v>
      </c>
      <c r="M496" s="19" t="s">
        <v>78</v>
      </c>
      <c r="N496" s="19" t="s">
        <v>75</v>
      </c>
      <c r="O496" s="19"/>
      <c r="P496" s="19" t="s">
        <v>78</v>
      </c>
      <c r="Q496" s="19" t="s">
        <v>78</v>
      </c>
      <c r="R496" s="19" t="s">
        <v>78</v>
      </c>
      <c r="S496" s="20" t="s">
        <v>78</v>
      </c>
    </row>
    <row r="497" spans="1:19" x14ac:dyDescent="0.35">
      <c r="A497" s="81" t="s">
        <v>247</v>
      </c>
      <c r="B497" s="17">
        <v>1253960</v>
      </c>
      <c r="C497" s="17">
        <v>17000</v>
      </c>
      <c r="D497" s="17" t="s">
        <v>78</v>
      </c>
      <c r="E497" s="17" t="s">
        <v>377</v>
      </c>
      <c r="F497" s="17" t="s">
        <v>78</v>
      </c>
      <c r="G497" s="17" t="s">
        <v>78</v>
      </c>
      <c r="H497" s="17" t="s">
        <v>78</v>
      </c>
      <c r="I497" s="17" t="s">
        <v>78</v>
      </c>
      <c r="J497" s="17" t="s">
        <v>78</v>
      </c>
      <c r="K497" s="17" t="s">
        <v>78</v>
      </c>
      <c r="L497" s="17" t="s">
        <v>78</v>
      </c>
      <c r="M497" s="17" t="s">
        <v>78</v>
      </c>
      <c r="N497" s="17" t="s">
        <v>492</v>
      </c>
      <c r="O497" s="17"/>
      <c r="P497" s="17" t="s">
        <v>78</v>
      </c>
      <c r="Q497" s="17" t="s">
        <v>78</v>
      </c>
      <c r="R497" s="17" t="s">
        <v>78</v>
      </c>
      <c r="S497" s="18" t="s">
        <v>78</v>
      </c>
    </row>
    <row r="498" spans="1:19" x14ac:dyDescent="0.35">
      <c r="A498" s="82" t="s">
        <v>247</v>
      </c>
      <c r="B498" s="19">
        <v>98920</v>
      </c>
      <c r="C498" s="19">
        <v>17000</v>
      </c>
      <c r="D498" s="19" t="s">
        <v>78</v>
      </c>
      <c r="E498" s="19" t="s">
        <v>421</v>
      </c>
      <c r="F498" s="19" t="s">
        <v>78</v>
      </c>
      <c r="G498" s="19" t="s">
        <v>78</v>
      </c>
      <c r="H498" s="19" t="s">
        <v>78</v>
      </c>
      <c r="I498" s="19" t="s">
        <v>78</v>
      </c>
      <c r="J498" s="19" t="s">
        <v>78</v>
      </c>
      <c r="K498" s="19" t="s">
        <v>78</v>
      </c>
      <c r="L498" s="19" t="s">
        <v>78</v>
      </c>
      <c r="M498" s="19" t="s">
        <v>78</v>
      </c>
      <c r="N498" s="19" t="s">
        <v>196</v>
      </c>
      <c r="O498" s="19"/>
      <c r="P498" s="19" t="s">
        <v>78</v>
      </c>
      <c r="Q498" s="19" t="s">
        <v>78</v>
      </c>
      <c r="R498" s="19" t="s">
        <v>78</v>
      </c>
      <c r="S498" s="20" t="s">
        <v>78</v>
      </c>
    </row>
    <row r="499" spans="1:19" x14ac:dyDescent="0.35">
      <c r="A499" s="82" t="s">
        <v>247</v>
      </c>
      <c r="B499" s="19">
        <v>1788920</v>
      </c>
      <c r="C499" s="19">
        <v>12040</v>
      </c>
      <c r="D499" s="19" t="s">
        <v>78</v>
      </c>
      <c r="E499" s="19" t="s">
        <v>439</v>
      </c>
      <c r="F499" s="19" t="s">
        <v>78</v>
      </c>
      <c r="G499" s="19" t="s">
        <v>78</v>
      </c>
      <c r="H499" s="19" t="s">
        <v>78</v>
      </c>
      <c r="I499" s="19" t="s">
        <v>78</v>
      </c>
      <c r="J499" s="19" t="s">
        <v>78</v>
      </c>
      <c r="K499" s="19" t="s">
        <v>78</v>
      </c>
      <c r="L499" s="19" t="s">
        <v>78</v>
      </c>
      <c r="M499" s="19" t="s">
        <v>78</v>
      </c>
      <c r="N499" s="19" t="s">
        <v>349</v>
      </c>
      <c r="O499" s="19" t="s">
        <v>78</v>
      </c>
      <c r="P499" s="19" t="s">
        <v>78</v>
      </c>
      <c r="Q499" s="19" t="s">
        <v>78</v>
      </c>
      <c r="R499" s="19" t="s">
        <v>78</v>
      </c>
      <c r="S499" s="20" t="s">
        <v>78</v>
      </c>
    </row>
    <row r="500" spans="1:19" x14ac:dyDescent="0.35">
      <c r="A500" s="81" t="s">
        <v>249</v>
      </c>
      <c r="B500" s="17">
        <v>508080</v>
      </c>
      <c r="C500" s="17">
        <v>17000</v>
      </c>
      <c r="D500" s="17" t="s">
        <v>78</v>
      </c>
      <c r="E500" s="17" t="s">
        <v>344</v>
      </c>
      <c r="F500" s="17" t="s">
        <v>78</v>
      </c>
      <c r="G500" s="17" t="s">
        <v>78</v>
      </c>
      <c r="H500" s="17" t="s">
        <v>78</v>
      </c>
      <c r="I500" s="17" t="s">
        <v>78</v>
      </c>
      <c r="J500" s="17" t="s">
        <v>78</v>
      </c>
      <c r="K500" s="17" t="s">
        <v>78</v>
      </c>
      <c r="L500" s="17" t="s">
        <v>78</v>
      </c>
      <c r="M500" s="17" t="s">
        <v>78</v>
      </c>
      <c r="N500" s="17" t="s">
        <v>161</v>
      </c>
      <c r="O500" s="17"/>
      <c r="P500" s="17" t="s">
        <v>78</v>
      </c>
      <c r="Q500" s="17" t="s">
        <v>78</v>
      </c>
      <c r="R500" s="17" t="s">
        <v>78</v>
      </c>
      <c r="S500" s="18" t="s">
        <v>78</v>
      </c>
    </row>
    <row r="501" spans="1:19" x14ac:dyDescent="0.35">
      <c r="A501" s="81" t="s">
        <v>249</v>
      </c>
      <c r="B501" s="17">
        <v>1447800</v>
      </c>
      <c r="C501" s="17">
        <v>17000</v>
      </c>
      <c r="D501" s="17" t="s">
        <v>78</v>
      </c>
      <c r="E501" s="17" t="s">
        <v>421</v>
      </c>
      <c r="F501" s="17" t="s">
        <v>78</v>
      </c>
      <c r="G501" s="17" t="s">
        <v>78</v>
      </c>
      <c r="H501" s="17" t="s">
        <v>78</v>
      </c>
      <c r="I501" s="17" t="s">
        <v>78</v>
      </c>
      <c r="J501" s="17" t="s">
        <v>78</v>
      </c>
      <c r="K501" s="17" t="s">
        <v>78</v>
      </c>
      <c r="L501" s="17" t="s">
        <v>78</v>
      </c>
      <c r="M501" s="17" t="s">
        <v>78</v>
      </c>
      <c r="N501" s="17" t="s">
        <v>161</v>
      </c>
      <c r="O501" s="17"/>
      <c r="P501" s="17" t="s">
        <v>78</v>
      </c>
      <c r="Q501" s="17" t="s">
        <v>78</v>
      </c>
      <c r="R501" s="17" t="s">
        <v>78</v>
      </c>
      <c r="S501" s="18" t="s">
        <v>78</v>
      </c>
    </row>
    <row r="502" spans="1:19" x14ac:dyDescent="0.35">
      <c r="A502" s="82" t="s">
        <v>249</v>
      </c>
      <c r="B502" s="19">
        <v>195800</v>
      </c>
      <c r="C502" s="19">
        <v>17000</v>
      </c>
      <c r="D502" s="19" t="s">
        <v>78</v>
      </c>
      <c r="E502" s="19" t="s">
        <v>562</v>
      </c>
      <c r="F502" s="19" t="s">
        <v>78</v>
      </c>
      <c r="G502" s="19" t="s">
        <v>78</v>
      </c>
      <c r="H502" s="19" t="s">
        <v>78</v>
      </c>
      <c r="I502" s="19" t="s">
        <v>78</v>
      </c>
      <c r="J502" s="19" t="s">
        <v>78</v>
      </c>
      <c r="K502" s="19" t="s">
        <v>78</v>
      </c>
      <c r="L502" s="19" t="s">
        <v>78</v>
      </c>
      <c r="M502" s="19" t="s">
        <v>78</v>
      </c>
      <c r="N502" s="19" t="s">
        <v>350</v>
      </c>
      <c r="O502" s="19"/>
      <c r="P502" s="19" t="s">
        <v>78</v>
      </c>
      <c r="Q502" s="19" t="s">
        <v>78</v>
      </c>
      <c r="R502" s="19" t="s">
        <v>78</v>
      </c>
      <c r="S502" s="20" t="s">
        <v>78</v>
      </c>
    </row>
    <row r="503" spans="1:19" x14ac:dyDescent="0.35">
      <c r="A503" s="82" t="s">
        <v>249</v>
      </c>
      <c r="B503" s="19">
        <v>219760</v>
      </c>
      <c r="C503" s="19">
        <v>17000</v>
      </c>
      <c r="D503" s="19" t="s">
        <v>78</v>
      </c>
      <c r="E503" s="19" t="s">
        <v>344</v>
      </c>
      <c r="F503" s="19" t="s">
        <v>78</v>
      </c>
      <c r="G503" s="19" t="s">
        <v>78</v>
      </c>
      <c r="H503" s="19" t="s">
        <v>78</v>
      </c>
      <c r="I503" s="19" t="s">
        <v>78</v>
      </c>
      <c r="J503" s="19" t="s">
        <v>78</v>
      </c>
      <c r="K503" s="19" t="s">
        <v>78</v>
      </c>
      <c r="L503" s="19" t="s">
        <v>78</v>
      </c>
      <c r="M503" s="19" t="s">
        <v>78</v>
      </c>
      <c r="N503" s="19" t="s">
        <v>75</v>
      </c>
      <c r="O503" s="19" t="s">
        <v>78</v>
      </c>
      <c r="P503" s="19" t="s">
        <v>78</v>
      </c>
      <c r="Q503" s="19" t="s">
        <v>78</v>
      </c>
      <c r="R503" s="19" t="s">
        <v>78</v>
      </c>
      <c r="S503" s="20" t="s">
        <v>78</v>
      </c>
    </row>
    <row r="504" spans="1:19" x14ac:dyDescent="0.35">
      <c r="A504" s="82" t="s">
        <v>250</v>
      </c>
      <c r="B504" s="19">
        <v>290600</v>
      </c>
      <c r="C504" s="19">
        <v>17000</v>
      </c>
      <c r="D504" s="19" t="s">
        <v>78</v>
      </c>
      <c r="E504" s="19" t="s">
        <v>415</v>
      </c>
      <c r="F504" s="19" t="s">
        <v>78</v>
      </c>
      <c r="G504" s="19" t="s">
        <v>78</v>
      </c>
      <c r="H504" s="19" t="s">
        <v>78</v>
      </c>
      <c r="I504" s="19" t="s">
        <v>78</v>
      </c>
      <c r="J504" s="19" t="s">
        <v>78</v>
      </c>
      <c r="K504" s="19" t="s">
        <v>78</v>
      </c>
      <c r="L504" s="19" t="s">
        <v>78</v>
      </c>
      <c r="M504" s="19" t="s">
        <v>78</v>
      </c>
      <c r="N504" s="19" t="s">
        <v>492</v>
      </c>
      <c r="O504" s="19"/>
      <c r="P504" s="19" t="s">
        <v>78</v>
      </c>
      <c r="Q504" s="19" t="s">
        <v>78</v>
      </c>
      <c r="R504" s="19" t="s">
        <v>78</v>
      </c>
      <c r="S504" s="20" t="s">
        <v>78</v>
      </c>
    </row>
    <row r="505" spans="1:19" x14ac:dyDescent="0.35">
      <c r="A505" s="82" t="s">
        <v>250</v>
      </c>
      <c r="B505" s="19">
        <v>1447800</v>
      </c>
      <c r="C505" s="19">
        <v>17000</v>
      </c>
      <c r="D505" s="19" t="s">
        <v>78</v>
      </c>
      <c r="E505" s="19" t="s">
        <v>563</v>
      </c>
      <c r="F505" s="19" t="s">
        <v>78</v>
      </c>
      <c r="G505" s="19" t="s">
        <v>78</v>
      </c>
      <c r="H505" s="19" t="s">
        <v>78</v>
      </c>
      <c r="I505" s="19" t="s">
        <v>78</v>
      </c>
      <c r="J505" s="19" t="s">
        <v>78</v>
      </c>
      <c r="K505" s="19" t="s">
        <v>78</v>
      </c>
      <c r="L505" s="19" t="s">
        <v>78</v>
      </c>
      <c r="M505" s="19" t="s">
        <v>78</v>
      </c>
      <c r="N505" s="19" t="s">
        <v>209</v>
      </c>
      <c r="O505" s="19"/>
      <c r="P505" s="19" t="s">
        <v>78</v>
      </c>
      <c r="Q505" s="19" t="s">
        <v>78</v>
      </c>
      <c r="R505" s="19" t="s">
        <v>78</v>
      </c>
      <c r="S505" s="20" t="s">
        <v>78</v>
      </c>
    </row>
    <row r="506" spans="1:19" x14ac:dyDescent="0.35">
      <c r="A506" s="82" t="s">
        <v>250</v>
      </c>
      <c r="B506" s="19">
        <v>195800</v>
      </c>
      <c r="C506" s="19">
        <v>17000</v>
      </c>
      <c r="D506" s="19" t="s">
        <v>78</v>
      </c>
      <c r="E506" s="19" t="s">
        <v>439</v>
      </c>
      <c r="F506" s="19" t="s">
        <v>78</v>
      </c>
      <c r="G506" s="19" t="s">
        <v>78</v>
      </c>
      <c r="H506" s="19" t="s">
        <v>78</v>
      </c>
      <c r="I506" s="19" t="s">
        <v>78</v>
      </c>
      <c r="J506" s="19" t="s">
        <v>78</v>
      </c>
      <c r="K506" s="19" t="s">
        <v>78</v>
      </c>
      <c r="L506" s="19" t="s">
        <v>78</v>
      </c>
      <c r="M506" s="19" t="s">
        <v>78</v>
      </c>
      <c r="N506" s="19" t="s">
        <v>209</v>
      </c>
      <c r="O506" s="19"/>
      <c r="P506" s="19" t="s">
        <v>78</v>
      </c>
      <c r="Q506" s="19" t="s">
        <v>78</v>
      </c>
      <c r="R506" s="19" t="s">
        <v>78</v>
      </c>
      <c r="S506" s="20" t="s">
        <v>78</v>
      </c>
    </row>
    <row r="507" spans="1:19" x14ac:dyDescent="0.35">
      <c r="A507" s="82" t="s">
        <v>250</v>
      </c>
      <c r="B507" s="19">
        <v>100280</v>
      </c>
      <c r="C507" s="19">
        <v>17000</v>
      </c>
      <c r="D507" s="19" t="s">
        <v>78</v>
      </c>
      <c r="E507" s="19" t="s">
        <v>347</v>
      </c>
      <c r="F507" s="19" t="s">
        <v>78</v>
      </c>
      <c r="G507" s="19" t="s">
        <v>78</v>
      </c>
      <c r="H507" s="19" t="s">
        <v>78</v>
      </c>
      <c r="I507" s="19" t="s">
        <v>78</v>
      </c>
      <c r="J507" s="19" t="s">
        <v>78</v>
      </c>
      <c r="K507" s="19" t="s">
        <v>78</v>
      </c>
      <c r="L507" s="19" t="s">
        <v>78</v>
      </c>
      <c r="M507" s="19" t="s">
        <v>78</v>
      </c>
      <c r="N507" s="19" t="s">
        <v>161</v>
      </c>
      <c r="O507" s="19" t="s">
        <v>78</v>
      </c>
      <c r="P507" s="19" t="s">
        <v>78</v>
      </c>
      <c r="Q507" s="19" t="s">
        <v>78</v>
      </c>
      <c r="R507" s="19" t="s">
        <v>78</v>
      </c>
      <c r="S507" s="20" t="s">
        <v>78</v>
      </c>
    </row>
    <row r="508" spans="1:19" x14ac:dyDescent="0.35">
      <c r="A508" s="81" t="s">
        <v>251</v>
      </c>
      <c r="B508" s="17">
        <v>821400</v>
      </c>
      <c r="C508" s="17">
        <v>17000</v>
      </c>
      <c r="D508" s="17" t="s">
        <v>78</v>
      </c>
      <c r="E508" s="17" t="s">
        <v>420</v>
      </c>
      <c r="F508" s="17" t="s">
        <v>78</v>
      </c>
      <c r="G508" s="17" t="s">
        <v>78</v>
      </c>
      <c r="H508" s="17" t="s">
        <v>78</v>
      </c>
      <c r="I508" s="17" t="s">
        <v>78</v>
      </c>
      <c r="J508" s="17" t="s">
        <v>78</v>
      </c>
      <c r="K508" s="17" t="s">
        <v>78</v>
      </c>
      <c r="L508" s="17" t="s">
        <v>78</v>
      </c>
      <c r="M508" s="17" t="s">
        <v>78</v>
      </c>
      <c r="N508" s="17" t="s">
        <v>350</v>
      </c>
      <c r="O508" s="17"/>
      <c r="P508" s="17" t="s">
        <v>78</v>
      </c>
      <c r="Q508" s="17" t="s">
        <v>78</v>
      </c>
      <c r="R508" s="17" t="s">
        <v>78</v>
      </c>
      <c r="S508" s="18" t="s">
        <v>78</v>
      </c>
    </row>
    <row r="509" spans="1:19" x14ac:dyDescent="0.35">
      <c r="A509" s="81" t="s">
        <v>251</v>
      </c>
      <c r="B509" s="17">
        <v>1720800</v>
      </c>
      <c r="C509" s="17">
        <v>17000</v>
      </c>
      <c r="D509" s="17" t="s">
        <v>78</v>
      </c>
      <c r="E509" s="17" t="s">
        <v>377</v>
      </c>
      <c r="F509" s="17" t="s">
        <v>78</v>
      </c>
      <c r="G509" s="17" t="s">
        <v>78</v>
      </c>
      <c r="H509" s="17" t="s">
        <v>78</v>
      </c>
      <c r="I509" s="17" t="s">
        <v>78</v>
      </c>
      <c r="J509" s="17" t="s">
        <v>78</v>
      </c>
      <c r="K509" s="17" t="s">
        <v>78</v>
      </c>
      <c r="L509" s="17" t="s">
        <v>78</v>
      </c>
      <c r="M509" s="17" t="s">
        <v>78</v>
      </c>
      <c r="N509" s="17" t="s">
        <v>161</v>
      </c>
      <c r="O509" s="17"/>
      <c r="P509" s="17" t="s">
        <v>78</v>
      </c>
      <c r="Q509" s="17" t="s">
        <v>78</v>
      </c>
      <c r="R509" s="17" t="s">
        <v>78</v>
      </c>
      <c r="S509" s="18" t="s">
        <v>78</v>
      </c>
    </row>
    <row r="510" spans="1:19" x14ac:dyDescent="0.35">
      <c r="A510" s="82" t="s">
        <v>251</v>
      </c>
      <c r="B510" s="19">
        <v>218040</v>
      </c>
      <c r="C510" s="19">
        <v>17000</v>
      </c>
      <c r="D510" s="19" t="s">
        <v>78</v>
      </c>
      <c r="E510" s="19" t="s">
        <v>421</v>
      </c>
      <c r="F510" s="19" t="s">
        <v>78</v>
      </c>
      <c r="G510" s="19" t="s">
        <v>78</v>
      </c>
      <c r="H510" s="19" t="s">
        <v>78</v>
      </c>
      <c r="I510" s="19" t="s">
        <v>78</v>
      </c>
      <c r="J510" s="19" t="s">
        <v>78</v>
      </c>
      <c r="K510" s="19" t="s">
        <v>78</v>
      </c>
      <c r="L510" s="19" t="s">
        <v>78</v>
      </c>
      <c r="M510" s="19" t="s">
        <v>78</v>
      </c>
      <c r="N510" s="19" t="s">
        <v>209</v>
      </c>
      <c r="O510" s="19"/>
      <c r="P510" s="19" t="s">
        <v>78</v>
      </c>
      <c r="Q510" s="19" t="s">
        <v>78</v>
      </c>
      <c r="R510" s="19" t="s">
        <v>78</v>
      </c>
      <c r="S510" s="20" t="s">
        <v>78</v>
      </c>
    </row>
    <row r="511" spans="1:19" x14ac:dyDescent="0.35">
      <c r="A511" s="82" t="s">
        <v>251</v>
      </c>
      <c r="B511" s="19">
        <v>267120</v>
      </c>
      <c r="C511" s="19">
        <v>17000</v>
      </c>
      <c r="D511" s="19" t="s">
        <v>78</v>
      </c>
      <c r="E511" s="19" t="s">
        <v>439</v>
      </c>
      <c r="F511" s="19" t="s">
        <v>78</v>
      </c>
      <c r="G511" s="19" t="s">
        <v>78</v>
      </c>
      <c r="H511" s="19" t="s">
        <v>78</v>
      </c>
      <c r="I511" s="19" t="s">
        <v>78</v>
      </c>
      <c r="J511" s="19" t="s">
        <v>78</v>
      </c>
      <c r="K511" s="19" t="s">
        <v>78</v>
      </c>
      <c r="L511" s="19" t="s">
        <v>78</v>
      </c>
      <c r="M511" s="19" t="s">
        <v>78</v>
      </c>
      <c r="N511" s="19" t="s">
        <v>161</v>
      </c>
      <c r="O511" s="19" t="s">
        <v>78</v>
      </c>
      <c r="P511" s="19" t="s">
        <v>78</v>
      </c>
      <c r="Q511" s="19" t="s">
        <v>78</v>
      </c>
      <c r="R511" s="19" t="s">
        <v>78</v>
      </c>
      <c r="S511" s="20" t="s">
        <v>78</v>
      </c>
    </row>
    <row r="512" spans="1:19" x14ac:dyDescent="0.35">
      <c r="A512" s="82" t="s">
        <v>252</v>
      </c>
      <c r="B512" s="19">
        <v>944600</v>
      </c>
      <c r="C512" s="19">
        <v>17000</v>
      </c>
      <c r="D512" s="19" t="s">
        <v>78</v>
      </c>
      <c r="E512" s="19" t="s">
        <v>344</v>
      </c>
      <c r="F512" s="19" t="s">
        <v>78</v>
      </c>
      <c r="G512" s="19" t="s">
        <v>78</v>
      </c>
      <c r="H512" s="19" t="s">
        <v>78</v>
      </c>
      <c r="I512" s="19" t="s">
        <v>78</v>
      </c>
      <c r="J512" s="19" t="s">
        <v>78</v>
      </c>
      <c r="K512" s="19" t="s">
        <v>78</v>
      </c>
      <c r="L512" s="19" t="s">
        <v>78</v>
      </c>
      <c r="M512" s="19" t="s">
        <v>78</v>
      </c>
      <c r="N512" s="19" t="s">
        <v>350</v>
      </c>
      <c r="O512" s="19"/>
      <c r="P512" s="19" t="s">
        <v>78</v>
      </c>
      <c r="Q512" s="19" t="s">
        <v>78</v>
      </c>
      <c r="R512" s="19" t="s">
        <v>78</v>
      </c>
      <c r="S512" s="20" t="s">
        <v>78</v>
      </c>
    </row>
    <row r="513" spans="1:19" x14ac:dyDescent="0.35">
      <c r="A513" s="82" t="s">
        <v>252</v>
      </c>
      <c r="B513" s="19">
        <v>2098040</v>
      </c>
      <c r="C513" s="19">
        <v>17000</v>
      </c>
      <c r="D513" s="19" t="s">
        <v>78</v>
      </c>
      <c r="E513" s="19" t="s">
        <v>347</v>
      </c>
      <c r="F513" s="19" t="s">
        <v>78</v>
      </c>
      <c r="G513" s="19" t="s">
        <v>78</v>
      </c>
      <c r="H513" s="19" t="s">
        <v>78</v>
      </c>
      <c r="I513" s="19" t="s">
        <v>78</v>
      </c>
      <c r="J513" s="19" t="s">
        <v>78</v>
      </c>
      <c r="K513" s="19" t="s">
        <v>78</v>
      </c>
      <c r="L513" s="19" t="s">
        <v>78</v>
      </c>
      <c r="M513" s="19" t="s">
        <v>78</v>
      </c>
      <c r="N513" s="19" t="s">
        <v>161</v>
      </c>
      <c r="O513" s="19"/>
      <c r="P513" s="19" t="s">
        <v>78</v>
      </c>
      <c r="Q513" s="19" t="s">
        <v>78</v>
      </c>
      <c r="R513" s="19" t="s">
        <v>78</v>
      </c>
      <c r="S513" s="20" t="s">
        <v>78</v>
      </c>
    </row>
    <row r="514" spans="1:19" x14ac:dyDescent="0.35">
      <c r="A514" s="82" t="s">
        <v>252</v>
      </c>
      <c r="B514" s="19">
        <v>804880</v>
      </c>
      <c r="C514" s="19">
        <v>17000</v>
      </c>
      <c r="D514" s="19" t="s">
        <v>78</v>
      </c>
      <c r="E514" s="19" t="s">
        <v>421</v>
      </c>
      <c r="F514" s="19" t="s">
        <v>78</v>
      </c>
      <c r="G514" s="19" t="s">
        <v>78</v>
      </c>
      <c r="H514" s="19" t="s">
        <v>78</v>
      </c>
      <c r="I514" s="19" t="s">
        <v>78</v>
      </c>
      <c r="J514" s="19" t="s">
        <v>78</v>
      </c>
      <c r="K514" s="19" t="s">
        <v>78</v>
      </c>
      <c r="L514" s="19" t="s">
        <v>78</v>
      </c>
      <c r="M514" s="19" t="s">
        <v>78</v>
      </c>
      <c r="N514" s="19" t="s">
        <v>350</v>
      </c>
      <c r="O514" s="19"/>
      <c r="P514" s="19" t="s">
        <v>78</v>
      </c>
      <c r="Q514" s="19" t="s">
        <v>78</v>
      </c>
      <c r="R514" s="19" t="s">
        <v>78</v>
      </c>
      <c r="S514" s="20" t="s">
        <v>78</v>
      </c>
    </row>
    <row r="515" spans="1:19" x14ac:dyDescent="0.35">
      <c r="A515" s="82" t="s">
        <v>252</v>
      </c>
      <c r="B515" s="19">
        <v>565480</v>
      </c>
      <c r="C515" s="19">
        <v>17000</v>
      </c>
      <c r="D515" s="19" t="s">
        <v>78</v>
      </c>
      <c r="E515" s="19" t="s">
        <v>420</v>
      </c>
      <c r="F515" s="19" t="s">
        <v>78</v>
      </c>
      <c r="G515" s="19" t="s">
        <v>78</v>
      </c>
      <c r="H515" s="19" t="s">
        <v>78</v>
      </c>
      <c r="I515" s="19" t="s">
        <v>78</v>
      </c>
      <c r="J515" s="19" t="s">
        <v>78</v>
      </c>
      <c r="K515" s="19" t="s">
        <v>78</v>
      </c>
      <c r="L515" s="19" t="s">
        <v>78</v>
      </c>
      <c r="M515" s="19" t="s">
        <v>78</v>
      </c>
      <c r="N515" s="19" t="s">
        <v>350</v>
      </c>
      <c r="O515" s="19" t="s">
        <v>78</v>
      </c>
      <c r="P515" s="19" t="s">
        <v>78</v>
      </c>
      <c r="Q515" s="19" t="s">
        <v>78</v>
      </c>
      <c r="R515" s="19" t="s">
        <v>78</v>
      </c>
      <c r="S515" s="20" t="s">
        <v>78</v>
      </c>
    </row>
    <row r="516" spans="1:19" x14ac:dyDescent="0.35">
      <c r="A516" s="81" t="s">
        <v>253</v>
      </c>
      <c r="B516" s="17">
        <v>1299320</v>
      </c>
      <c r="C516" s="17">
        <v>17000</v>
      </c>
      <c r="D516" s="17" t="s">
        <v>78</v>
      </c>
      <c r="E516" s="17" t="s">
        <v>421</v>
      </c>
      <c r="F516" s="17" t="s">
        <v>78</v>
      </c>
      <c r="G516" s="17" t="s">
        <v>78</v>
      </c>
      <c r="H516" s="17" t="s">
        <v>78</v>
      </c>
      <c r="I516" s="17" t="s">
        <v>78</v>
      </c>
      <c r="J516" s="17" t="s">
        <v>78</v>
      </c>
      <c r="K516" s="17" t="s">
        <v>78</v>
      </c>
      <c r="L516" s="17" t="s">
        <v>78</v>
      </c>
      <c r="M516" s="17" t="s">
        <v>78</v>
      </c>
      <c r="N516" s="17" t="s">
        <v>196</v>
      </c>
      <c r="O516" s="17"/>
      <c r="P516" s="17" t="s">
        <v>78</v>
      </c>
      <c r="Q516" s="17" t="s">
        <v>78</v>
      </c>
      <c r="R516" s="17" t="s">
        <v>78</v>
      </c>
      <c r="S516" s="18" t="s">
        <v>78</v>
      </c>
    </row>
    <row r="517" spans="1:19" x14ac:dyDescent="0.35">
      <c r="A517" s="82" t="s">
        <v>253</v>
      </c>
      <c r="B517" s="19">
        <v>155640</v>
      </c>
      <c r="C517" s="19">
        <v>17000</v>
      </c>
      <c r="D517" s="19" t="s">
        <v>78</v>
      </c>
      <c r="E517" s="19" t="s">
        <v>562</v>
      </c>
      <c r="F517" s="19" t="s">
        <v>78</v>
      </c>
      <c r="G517" s="19" t="s">
        <v>78</v>
      </c>
      <c r="H517" s="19" t="s">
        <v>78</v>
      </c>
      <c r="I517" s="19" t="s">
        <v>78</v>
      </c>
      <c r="J517" s="19" t="s">
        <v>78</v>
      </c>
      <c r="K517" s="19" t="s">
        <v>78</v>
      </c>
      <c r="L517" s="19" t="s">
        <v>78</v>
      </c>
      <c r="M517" s="19" t="s">
        <v>78</v>
      </c>
      <c r="N517" s="19" t="s">
        <v>196</v>
      </c>
      <c r="O517" s="19"/>
      <c r="P517" s="19" t="s">
        <v>78</v>
      </c>
      <c r="Q517" s="19" t="s">
        <v>78</v>
      </c>
      <c r="R517" s="19" t="s">
        <v>78</v>
      </c>
      <c r="S517" s="20" t="s">
        <v>78</v>
      </c>
    </row>
    <row r="518" spans="1:19" x14ac:dyDescent="0.35">
      <c r="A518" s="82" t="s">
        <v>253</v>
      </c>
      <c r="B518" s="19">
        <v>1445680</v>
      </c>
      <c r="C518" s="19">
        <v>17000</v>
      </c>
      <c r="D518" s="19" t="s">
        <v>78</v>
      </c>
      <c r="E518" s="19" t="s">
        <v>562</v>
      </c>
      <c r="F518" s="19" t="s">
        <v>78</v>
      </c>
      <c r="G518" s="19" t="s">
        <v>78</v>
      </c>
      <c r="H518" s="19" t="s">
        <v>78</v>
      </c>
      <c r="I518" s="19" t="s">
        <v>78</v>
      </c>
      <c r="J518" s="19" t="s">
        <v>78</v>
      </c>
      <c r="K518" s="19" t="s">
        <v>78</v>
      </c>
      <c r="L518" s="19" t="s">
        <v>78</v>
      </c>
      <c r="M518" s="19" t="s">
        <v>78</v>
      </c>
      <c r="N518" s="19" t="s">
        <v>350</v>
      </c>
      <c r="O518" s="19"/>
      <c r="P518" s="19" t="s">
        <v>78</v>
      </c>
      <c r="Q518" s="19" t="s">
        <v>78</v>
      </c>
      <c r="R518" s="19" t="s">
        <v>78</v>
      </c>
      <c r="S518" s="20" t="s">
        <v>78</v>
      </c>
    </row>
    <row r="519" spans="1:19" x14ac:dyDescent="0.35">
      <c r="A519" s="82" t="s">
        <v>253</v>
      </c>
      <c r="B519" s="19">
        <v>1273640</v>
      </c>
      <c r="C519" s="19">
        <v>17000</v>
      </c>
      <c r="D519" s="19" t="s">
        <v>78</v>
      </c>
      <c r="E519" s="19" t="s">
        <v>420</v>
      </c>
      <c r="F519" s="19" t="s">
        <v>78</v>
      </c>
      <c r="G519" s="19" t="s">
        <v>78</v>
      </c>
      <c r="H519" s="19" t="s">
        <v>78</v>
      </c>
      <c r="I519" s="19" t="s">
        <v>78</v>
      </c>
      <c r="J519" s="19" t="s">
        <v>78</v>
      </c>
      <c r="K519" s="19" t="s">
        <v>78</v>
      </c>
      <c r="L519" s="19" t="s">
        <v>78</v>
      </c>
      <c r="M519" s="19" t="s">
        <v>78</v>
      </c>
      <c r="N519" s="19" t="s">
        <v>349</v>
      </c>
      <c r="O519" s="19" t="s">
        <v>78</v>
      </c>
      <c r="P519" s="19" t="s">
        <v>78</v>
      </c>
      <c r="Q519" s="19" t="s">
        <v>78</v>
      </c>
      <c r="R519" s="19" t="s">
        <v>78</v>
      </c>
      <c r="S519" s="20" t="s">
        <v>78</v>
      </c>
    </row>
    <row r="520" spans="1:19" x14ac:dyDescent="0.35">
      <c r="A520" s="82" t="s">
        <v>254</v>
      </c>
      <c r="B520" s="19">
        <v>1299320</v>
      </c>
      <c r="C520" s="19">
        <v>17000</v>
      </c>
      <c r="D520" s="19" t="s">
        <v>78</v>
      </c>
      <c r="E520" s="19" t="s">
        <v>415</v>
      </c>
      <c r="F520" s="19" t="s">
        <v>78</v>
      </c>
      <c r="G520" s="19" t="s">
        <v>78</v>
      </c>
      <c r="H520" s="19" t="s">
        <v>78</v>
      </c>
      <c r="I520" s="19" t="s">
        <v>78</v>
      </c>
      <c r="J520" s="19" t="s">
        <v>78</v>
      </c>
      <c r="K520" s="19" t="s">
        <v>78</v>
      </c>
      <c r="L520" s="19" t="s">
        <v>78</v>
      </c>
      <c r="M520" s="19" t="s">
        <v>78</v>
      </c>
      <c r="N520" s="19" t="s">
        <v>196</v>
      </c>
      <c r="O520" s="19"/>
      <c r="P520" s="19" t="s">
        <v>78</v>
      </c>
      <c r="Q520" s="19" t="s">
        <v>78</v>
      </c>
      <c r="R520" s="19" t="s">
        <v>78</v>
      </c>
      <c r="S520" s="20" t="s">
        <v>78</v>
      </c>
    </row>
    <row r="521" spans="1:19" x14ac:dyDescent="0.35">
      <c r="A521" s="81" t="s">
        <v>254</v>
      </c>
      <c r="B521" s="17">
        <v>155640</v>
      </c>
      <c r="C521" s="17">
        <v>17000</v>
      </c>
      <c r="D521" s="17" t="s">
        <v>78</v>
      </c>
      <c r="E521" s="17" t="s">
        <v>348</v>
      </c>
      <c r="F521" s="17" t="s">
        <v>78</v>
      </c>
      <c r="G521" s="17" t="s">
        <v>78</v>
      </c>
      <c r="H521" s="17" t="s">
        <v>78</v>
      </c>
      <c r="I521" s="17" t="s">
        <v>78</v>
      </c>
      <c r="J521" s="17" t="s">
        <v>78</v>
      </c>
      <c r="K521" s="17" t="s">
        <v>78</v>
      </c>
      <c r="L521" s="17" t="s">
        <v>78</v>
      </c>
      <c r="M521" s="17" t="s">
        <v>78</v>
      </c>
      <c r="N521" s="17" t="s">
        <v>161</v>
      </c>
      <c r="O521" s="17"/>
      <c r="P521" s="17" t="s">
        <v>78</v>
      </c>
      <c r="Q521" s="17" t="s">
        <v>78</v>
      </c>
      <c r="R521" s="17" t="s">
        <v>78</v>
      </c>
      <c r="S521" s="18" t="s">
        <v>78</v>
      </c>
    </row>
    <row r="522" spans="1:19" x14ac:dyDescent="0.35">
      <c r="A522" s="82" t="s">
        <v>254</v>
      </c>
      <c r="B522" s="19">
        <v>1698120</v>
      </c>
      <c r="C522" s="19">
        <v>17000</v>
      </c>
      <c r="D522" s="19" t="s">
        <v>78</v>
      </c>
      <c r="E522" s="19" t="s">
        <v>420</v>
      </c>
      <c r="F522" s="19" t="s">
        <v>78</v>
      </c>
      <c r="G522" s="19" t="s">
        <v>78</v>
      </c>
      <c r="H522" s="19" t="s">
        <v>78</v>
      </c>
      <c r="I522" s="19" t="s">
        <v>78</v>
      </c>
      <c r="J522" s="19" t="s">
        <v>78</v>
      </c>
      <c r="K522" s="19" t="s">
        <v>78</v>
      </c>
      <c r="L522" s="19" t="s">
        <v>78</v>
      </c>
      <c r="M522" s="19" t="s">
        <v>78</v>
      </c>
      <c r="N522" s="19" t="s">
        <v>211</v>
      </c>
      <c r="O522" s="19"/>
      <c r="P522" s="19" t="s">
        <v>78</v>
      </c>
      <c r="Q522" s="19" t="s">
        <v>78</v>
      </c>
      <c r="R522" s="19" t="s">
        <v>78</v>
      </c>
      <c r="S522" s="20" t="s">
        <v>78</v>
      </c>
    </row>
    <row r="523" spans="1:19" x14ac:dyDescent="0.35">
      <c r="A523" s="82" t="s">
        <v>254</v>
      </c>
      <c r="B523" s="19">
        <v>1419520</v>
      </c>
      <c r="C523" s="19">
        <v>17000</v>
      </c>
      <c r="D523" s="19" t="s">
        <v>78</v>
      </c>
      <c r="E523" s="19" t="s">
        <v>420</v>
      </c>
      <c r="F523" s="19" t="s">
        <v>78</v>
      </c>
      <c r="G523" s="19" t="s">
        <v>78</v>
      </c>
      <c r="H523" s="19" t="s">
        <v>78</v>
      </c>
      <c r="I523" s="19" t="s">
        <v>78</v>
      </c>
      <c r="J523" s="19" t="s">
        <v>78</v>
      </c>
      <c r="K523" s="19" t="s">
        <v>78</v>
      </c>
      <c r="L523" s="19" t="s">
        <v>78</v>
      </c>
      <c r="M523" s="19" t="s">
        <v>78</v>
      </c>
      <c r="N523" s="19" t="s">
        <v>349</v>
      </c>
      <c r="O523" s="19" t="s">
        <v>78</v>
      </c>
      <c r="P523" s="19" t="s">
        <v>78</v>
      </c>
      <c r="Q523" s="19" t="s">
        <v>78</v>
      </c>
      <c r="R523" s="19" t="s">
        <v>78</v>
      </c>
      <c r="S523" s="20" t="s">
        <v>78</v>
      </c>
    </row>
    <row r="524" spans="1:19" x14ac:dyDescent="0.35">
      <c r="A524" s="81" t="s">
        <v>136</v>
      </c>
      <c r="B524" s="17">
        <v>454080</v>
      </c>
      <c r="C524" s="17">
        <v>17000</v>
      </c>
      <c r="D524" s="17" t="s">
        <v>78</v>
      </c>
      <c r="E524" s="17" t="s">
        <v>344</v>
      </c>
      <c r="F524" s="17" t="s">
        <v>78</v>
      </c>
      <c r="G524" s="17" t="s">
        <v>78</v>
      </c>
      <c r="H524" s="17" t="s">
        <v>78</v>
      </c>
      <c r="I524" s="17" t="s">
        <v>78</v>
      </c>
      <c r="J524" s="17" t="s">
        <v>78</v>
      </c>
      <c r="K524" s="17" t="s">
        <v>78</v>
      </c>
      <c r="L524" s="17" t="s">
        <v>78</v>
      </c>
      <c r="M524" s="17" t="s">
        <v>78</v>
      </c>
      <c r="N524" s="17" t="s">
        <v>191</v>
      </c>
      <c r="O524" s="17"/>
      <c r="P524" s="17" t="s">
        <v>78</v>
      </c>
      <c r="Q524" s="17" t="s">
        <v>78</v>
      </c>
      <c r="R524" s="17" t="s">
        <v>78</v>
      </c>
      <c r="S524" s="18" t="s">
        <v>78</v>
      </c>
    </row>
    <row r="525" spans="1:19" x14ac:dyDescent="0.35">
      <c r="A525" s="81" t="s">
        <v>136</v>
      </c>
      <c r="B525" s="17">
        <v>633800</v>
      </c>
      <c r="C525" s="17">
        <v>17000</v>
      </c>
      <c r="D525" s="17" t="s">
        <v>78</v>
      </c>
      <c r="E525" s="17" t="s">
        <v>420</v>
      </c>
      <c r="F525" s="17" t="s">
        <v>78</v>
      </c>
      <c r="G525" s="17" t="s">
        <v>78</v>
      </c>
      <c r="H525" s="17" t="s">
        <v>78</v>
      </c>
      <c r="I525" s="17" t="s">
        <v>78</v>
      </c>
      <c r="J525" s="17" t="s">
        <v>78</v>
      </c>
      <c r="K525" s="17" t="s">
        <v>78</v>
      </c>
      <c r="L525" s="17" t="s">
        <v>78</v>
      </c>
      <c r="M525" s="17" t="s">
        <v>78</v>
      </c>
      <c r="N525" s="17" t="s">
        <v>349</v>
      </c>
      <c r="O525" s="17"/>
      <c r="P525" s="17" t="s">
        <v>78</v>
      </c>
      <c r="Q525" s="17" t="s">
        <v>78</v>
      </c>
      <c r="R525" s="17" t="s">
        <v>78</v>
      </c>
      <c r="S525" s="18" t="s">
        <v>78</v>
      </c>
    </row>
    <row r="526" spans="1:19" x14ac:dyDescent="0.35">
      <c r="A526" s="81" t="s">
        <v>136</v>
      </c>
      <c r="B526" s="17">
        <v>330640</v>
      </c>
      <c r="C526" s="17">
        <v>17000</v>
      </c>
      <c r="D526" s="17" t="s">
        <v>78</v>
      </c>
      <c r="E526" s="17" t="s">
        <v>346</v>
      </c>
      <c r="F526" s="17" t="s">
        <v>78</v>
      </c>
      <c r="G526" s="17" t="s">
        <v>78</v>
      </c>
      <c r="H526" s="17" t="s">
        <v>78</v>
      </c>
      <c r="I526" s="17" t="s">
        <v>78</v>
      </c>
      <c r="J526" s="17" t="s">
        <v>78</v>
      </c>
      <c r="K526" s="17" t="s">
        <v>78</v>
      </c>
      <c r="L526" s="17" t="s">
        <v>78</v>
      </c>
      <c r="M526" s="17" t="s">
        <v>78</v>
      </c>
      <c r="N526" s="17" t="s">
        <v>196</v>
      </c>
      <c r="O526" s="17"/>
      <c r="P526" s="17" t="s">
        <v>78</v>
      </c>
      <c r="Q526" s="17" t="s">
        <v>78</v>
      </c>
      <c r="R526" s="17" t="s">
        <v>78</v>
      </c>
      <c r="S526" s="18" t="s">
        <v>78</v>
      </c>
    </row>
    <row r="527" spans="1:19" x14ac:dyDescent="0.35">
      <c r="A527" s="82" t="s">
        <v>136</v>
      </c>
      <c r="B527" s="19">
        <v>357000</v>
      </c>
      <c r="C527" s="19">
        <v>17000</v>
      </c>
      <c r="D527" s="19" t="s">
        <v>78</v>
      </c>
      <c r="E527" s="19" t="s">
        <v>422</v>
      </c>
      <c r="F527" s="19" t="s">
        <v>78</v>
      </c>
      <c r="G527" s="19" t="s">
        <v>78</v>
      </c>
      <c r="H527" s="19" t="s">
        <v>78</v>
      </c>
      <c r="I527" s="19" t="s">
        <v>78</v>
      </c>
      <c r="J527" s="19" t="s">
        <v>78</v>
      </c>
      <c r="K527" s="19" t="s">
        <v>78</v>
      </c>
      <c r="L527" s="19" t="s">
        <v>78</v>
      </c>
      <c r="M527" s="19" t="s">
        <v>78</v>
      </c>
      <c r="N527" s="19" t="s">
        <v>165</v>
      </c>
      <c r="O527" s="19"/>
      <c r="P527" s="19" t="s">
        <v>78</v>
      </c>
      <c r="Q527" s="19" t="s">
        <v>78</v>
      </c>
      <c r="R527" s="19" t="s">
        <v>78</v>
      </c>
      <c r="S527" s="20" t="s">
        <v>78</v>
      </c>
    </row>
    <row r="528" spans="1:19" x14ac:dyDescent="0.35">
      <c r="A528" s="82" t="s">
        <v>136</v>
      </c>
      <c r="B528" s="19">
        <v>319880</v>
      </c>
      <c r="C528" s="19">
        <v>17000</v>
      </c>
      <c r="D528" s="19" t="s">
        <v>78</v>
      </c>
      <c r="E528" s="19" t="s">
        <v>421</v>
      </c>
      <c r="F528" s="19" t="s">
        <v>78</v>
      </c>
      <c r="G528" s="19" t="s">
        <v>78</v>
      </c>
      <c r="H528" s="19" t="s">
        <v>78</v>
      </c>
      <c r="I528" s="19" t="s">
        <v>78</v>
      </c>
      <c r="J528" s="19" t="s">
        <v>78</v>
      </c>
      <c r="K528" s="19" t="s">
        <v>78</v>
      </c>
      <c r="L528" s="19" t="s">
        <v>78</v>
      </c>
      <c r="M528" s="19" t="s">
        <v>78</v>
      </c>
      <c r="N528" s="19" t="s">
        <v>161</v>
      </c>
      <c r="O528" s="19" t="s">
        <v>78</v>
      </c>
      <c r="P528" s="19" t="s">
        <v>78</v>
      </c>
      <c r="Q528" s="19" t="s">
        <v>78</v>
      </c>
      <c r="R528" s="19" t="s">
        <v>78</v>
      </c>
      <c r="S528" s="20" t="s">
        <v>78</v>
      </c>
    </row>
    <row r="529" spans="1:19" x14ac:dyDescent="0.35">
      <c r="A529" s="81" t="s">
        <v>520</v>
      </c>
      <c r="B529" s="17">
        <v>1668560</v>
      </c>
      <c r="C529" s="17">
        <v>17000</v>
      </c>
      <c r="D529" s="17" t="s">
        <v>78</v>
      </c>
      <c r="E529" s="17" t="s">
        <v>422</v>
      </c>
      <c r="F529" s="17" t="s">
        <v>78</v>
      </c>
      <c r="G529" s="17" t="s">
        <v>78</v>
      </c>
      <c r="H529" s="17" t="s">
        <v>78</v>
      </c>
      <c r="I529" s="17" t="s">
        <v>78</v>
      </c>
      <c r="J529" s="17" t="s">
        <v>78</v>
      </c>
      <c r="K529" s="17" t="s">
        <v>78</v>
      </c>
      <c r="L529" s="17" t="s">
        <v>78</v>
      </c>
      <c r="M529" s="17" t="s">
        <v>78</v>
      </c>
      <c r="N529" s="17" t="s">
        <v>350</v>
      </c>
      <c r="O529" s="17"/>
      <c r="P529" s="17" t="s">
        <v>78</v>
      </c>
      <c r="Q529" s="17" t="s">
        <v>78</v>
      </c>
      <c r="R529" s="17" t="s">
        <v>78</v>
      </c>
      <c r="S529" s="18" t="s">
        <v>78</v>
      </c>
    </row>
    <row r="530" spans="1:19" x14ac:dyDescent="0.35">
      <c r="A530" s="82" t="s">
        <v>520</v>
      </c>
      <c r="B530" s="19">
        <v>260640</v>
      </c>
      <c r="C530" s="19">
        <v>17000</v>
      </c>
      <c r="D530" s="19" t="s">
        <v>78</v>
      </c>
      <c r="E530" s="19" t="s">
        <v>562</v>
      </c>
      <c r="F530" s="19" t="s">
        <v>78</v>
      </c>
      <c r="G530" s="19" t="s">
        <v>78</v>
      </c>
      <c r="H530" s="19" t="s">
        <v>78</v>
      </c>
      <c r="I530" s="19" t="s">
        <v>78</v>
      </c>
      <c r="J530" s="19" t="s">
        <v>78</v>
      </c>
      <c r="K530" s="19" t="s">
        <v>78</v>
      </c>
      <c r="L530" s="19" t="s">
        <v>78</v>
      </c>
      <c r="M530" s="19" t="s">
        <v>78</v>
      </c>
      <c r="N530" s="19" t="s">
        <v>196</v>
      </c>
      <c r="O530" s="19"/>
      <c r="P530" s="19" t="s">
        <v>78</v>
      </c>
      <c r="Q530" s="19" t="s">
        <v>78</v>
      </c>
      <c r="R530" s="19" t="s">
        <v>78</v>
      </c>
      <c r="S530" s="20" t="s">
        <v>78</v>
      </c>
    </row>
    <row r="531" spans="1:19" x14ac:dyDescent="0.35">
      <c r="A531" t="s">
        <v>520</v>
      </c>
      <c r="B531">
        <v>1808240</v>
      </c>
      <c r="C531">
        <v>17000</v>
      </c>
      <c r="D531" t="s">
        <v>78</v>
      </c>
      <c r="E531" t="s">
        <v>422</v>
      </c>
      <c r="F531" t="s">
        <v>78</v>
      </c>
      <c r="G531" t="s">
        <v>78</v>
      </c>
      <c r="H531" t="s">
        <v>78</v>
      </c>
      <c r="I531" t="s">
        <v>78</v>
      </c>
      <c r="J531" t="s">
        <v>78</v>
      </c>
      <c r="K531" t="s">
        <v>78</v>
      </c>
      <c r="L531" t="s">
        <v>78</v>
      </c>
      <c r="M531" t="s">
        <v>78</v>
      </c>
      <c r="N531" t="s">
        <v>211</v>
      </c>
      <c r="P531" t="s">
        <v>78</v>
      </c>
      <c r="Q531" t="s">
        <v>78</v>
      </c>
      <c r="R531" t="s">
        <v>78</v>
      </c>
      <c r="S531" t="s">
        <v>78</v>
      </c>
    </row>
    <row r="532" spans="1:19" x14ac:dyDescent="0.35">
      <c r="A532" s="530" t="s">
        <v>519</v>
      </c>
      <c r="B532" s="530">
        <v>1710680</v>
      </c>
      <c r="C532" s="530">
        <v>17000</v>
      </c>
      <c r="D532" s="530" t="s">
        <v>78</v>
      </c>
      <c r="E532" s="530" t="s">
        <v>422</v>
      </c>
      <c r="F532" s="530" t="s">
        <v>78</v>
      </c>
      <c r="G532" s="530" t="s">
        <v>78</v>
      </c>
      <c r="H532" s="530" t="s">
        <v>78</v>
      </c>
      <c r="I532" s="530" t="s">
        <v>78</v>
      </c>
      <c r="J532" s="530" t="s">
        <v>78</v>
      </c>
      <c r="K532" s="530" t="s">
        <v>78</v>
      </c>
      <c r="L532" s="530" t="s">
        <v>78</v>
      </c>
      <c r="M532" s="530" t="s">
        <v>78</v>
      </c>
      <c r="N532" s="530" t="s">
        <v>209</v>
      </c>
      <c r="O532" s="530"/>
      <c r="P532" s="530" t="s">
        <v>78</v>
      </c>
      <c r="Q532" s="530" t="s">
        <v>78</v>
      </c>
      <c r="R532" s="530" t="s">
        <v>78</v>
      </c>
      <c r="S532" s="530" t="s">
        <v>78</v>
      </c>
    </row>
    <row r="533" spans="1:19" x14ac:dyDescent="0.35">
      <c r="A533" s="531" t="s">
        <v>519</v>
      </c>
      <c r="B533" s="531">
        <v>346760</v>
      </c>
      <c r="C533" s="531">
        <v>17000</v>
      </c>
      <c r="D533" s="531" t="s">
        <v>78</v>
      </c>
      <c r="E533" s="531" t="s">
        <v>415</v>
      </c>
      <c r="F533" s="531" t="s">
        <v>78</v>
      </c>
      <c r="G533" s="531" t="s">
        <v>78</v>
      </c>
      <c r="H533" s="531" t="s">
        <v>78</v>
      </c>
      <c r="I533" s="531" t="s">
        <v>78</v>
      </c>
      <c r="J533" s="531" t="s">
        <v>78</v>
      </c>
      <c r="K533" s="531" t="s">
        <v>78</v>
      </c>
      <c r="L533" s="531" t="s">
        <v>78</v>
      </c>
      <c r="M533" s="531" t="s">
        <v>78</v>
      </c>
      <c r="N533" s="531" t="s">
        <v>196</v>
      </c>
      <c r="O533" s="531"/>
      <c r="P533" s="531" t="s">
        <v>78</v>
      </c>
      <c r="Q533" s="531" t="s">
        <v>78</v>
      </c>
      <c r="R533" s="531" t="s">
        <v>78</v>
      </c>
      <c r="S533" s="531" t="s">
        <v>78</v>
      </c>
    </row>
    <row r="534" spans="1:19" x14ac:dyDescent="0.35">
      <c r="A534" t="s">
        <v>519</v>
      </c>
      <c r="B534">
        <v>1940120</v>
      </c>
      <c r="C534">
        <v>17000</v>
      </c>
      <c r="D534" t="s">
        <v>78</v>
      </c>
      <c r="E534" t="s">
        <v>344</v>
      </c>
      <c r="F534" t="s">
        <v>78</v>
      </c>
      <c r="G534" t="s">
        <v>78</v>
      </c>
      <c r="H534" t="s">
        <v>78</v>
      </c>
      <c r="I534" t="s">
        <v>78</v>
      </c>
      <c r="J534" t="s">
        <v>78</v>
      </c>
      <c r="K534" t="s">
        <v>78</v>
      </c>
      <c r="L534" t="s">
        <v>78</v>
      </c>
      <c r="M534" t="s">
        <v>78</v>
      </c>
      <c r="N534" t="s">
        <v>196</v>
      </c>
      <c r="P534" t="s">
        <v>78</v>
      </c>
      <c r="Q534" t="s">
        <v>78</v>
      </c>
      <c r="R534" t="s">
        <v>78</v>
      </c>
      <c r="S534" t="s">
        <v>78</v>
      </c>
    </row>
    <row r="535" spans="1:19" x14ac:dyDescent="0.35">
      <c r="A535" s="530" t="s">
        <v>564</v>
      </c>
      <c r="B535" s="530">
        <v>467280</v>
      </c>
      <c r="C535" s="530">
        <v>17000</v>
      </c>
      <c r="D535" s="530" t="s">
        <v>78</v>
      </c>
      <c r="E535" s="530" t="s">
        <v>562</v>
      </c>
      <c r="F535" s="530" t="s">
        <v>78</v>
      </c>
      <c r="G535" s="530" t="s">
        <v>78</v>
      </c>
      <c r="H535" s="530" t="s">
        <v>78</v>
      </c>
      <c r="I535" s="530" t="s">
        <v>78</v>
      </c>
      <c r="J535" s="530" t="s">
        <v>78</v>
      </c>
      <c r="K535" s="530" t="s">
        <v>78</v>
      </c>
      <c r="L535" s="530" t="s">
        <v>78</v>
      </c>
      <c r="M535" s="530" t="s">
        <v>78</v>
      </c>
      <c r="N535" s="530" t="s">
        <v>211</v>
      </c>
      <c r="O535" s="530"/>
      <c r="P535" s="530" t="s">
        <v>78</v>
      </c>
      <c r="Q535" s="530" t="s">
        <v>78</v>
      </c>
      <c r="R535" s="530" t="s">
        <v>78</v>
      </c>
      <c r="S535" s="530" t="s">
        <v>78</v>
      </c>
    </row>
    <row r="536" spans="1:19" x14ac:dyDescent="0.35">
      <c r="A536" t="s">
        <v>564</v>
      </c>
      <c r="B536">
        <v>2022680</v>
      </c>
      <c r="C536">
        <v>17000</v>
      </c>
      <c r="D536" t="s">
        <v>78</v>
      </c>
      <c r="E536" t="s">
        <v>420</v>
      </c>
      <c r="F536" t="s">
        <v>78</v>
      </c>
      <c r="G536" t="s">
        <v>78</v>
      </c>
      <c r="H536" t="s">
        <v>78</v>
      </c>
      <c r="I536" t="s">
        <v>78</v>
      </c>
      <c r="J536" t="s">
        <v>78</v>
      </c>
      <c r="K536" t="s">
        <v>78</v>
      </c>
      <c r="L536" t="s">
        <v>78</v>
      </c>
      <c r="M536" t="s">
        <v>78</v>
      </c>
      <c r="N536" t="s">
        <v>211</v>
      </c>
      <c r="P536" t="s">
        <v>78</v>
      </c>
      <c r="Q536" t="s">
        <v>78</v>
      </c>
      <c r="R536" t="s">
        <v>78</v>
      </c>
      <c r="S536" t="s">
        <v>78</v>
      </c>
    </row>
    <row r="537" spans="1:19" x14ac:dyDescent="0.35">
      <c r="A537" s="530" t="s">
        <v>171</v>
      </c>
      <c r="B537" s="530">
        <v>561440</v>
      </c>
      <c r="C537" s="530">
        <v>17000</v>
      </c>
      <c r="D537" s="530" t="s">
        <v>78</v>
      </c>
      <c r="E537" s="530" t="s">
        <v>344</v>
      </c>
      <c r="F537" s="530" t="s">
        <v>78</v>
      </c>
      <c r="G537" s="530" t="s">
        <v>78</v>
      </c>
      <c r="H537" s="530" t="s">
        <v>78</v>
      </c>
      <c r="I537" s="530" t="s">
        <v>78</v>
      </c>
      <c r="J537" s="530" t="s">
        <v>78</v>
      </c>
      <c r="K537" s="530" t="s">
        <v>78</v>
      </c>
      <c r="L537" s="530" t="s">
        <v>78</v>
      </c>
      <c r="M537" s="530" t="s">
        <v>78</v>
      </c>
      <c r="N537" s="530" t="s">
        <v>350</v>
      </c>
      <c r="O537" s="530"/>
      <c r="P537" s="530" t="s">
        <v>78</v>
      </c>
      <c r="Q537" s="530" t="s">
        <v>78</v>
      </c>
      <c r="R537" s="530" t="s">
        <v>78</v>
      </c>
      <c r="S537" s="530" t="s">
        <v>78</v>
      </c>
    </row>
    <row r="538" spans="1:19" x14ac:dyDescent="0.35">
      <c r="A538" s="530" t="s">
        <v>171</v>
      </c>
      <c r="B538" s="530">
        <v>844320</v>
      </c>
      <c r="C538" s="530">
        <v>17000</v>
      </c>
      <c r="D538" s="530" t="s">
        <v>78</v>
      </c>
      <c r="E538" s="530" t="s">
        <v>420</v>
      </c>
      <c r="F538" s="530" t="s">
        <v>78</v>
      </c>
      <c r="G538" s="530" t="s">
        <v>78</v>
      </c>
      <c r="H538" s="530" t="s">
        <v>78</v>
      </c>
      <c r="I538" s="530" t="s">
        <v>78</v>
      </c>
      <c r="J538" s="530" t="s">
        <v>78</v>
      </c>
      <c r="K538" s="530" t="s">
        <v>78</v>
      </c>
      <c r="L538" s="530" t="s">
        <v>78</v>
      </c>
      <c r="M538" s="530" t="s">
        <v>78</v>
      </c>
      <c r="N538" s="530" t="s">
        <v>211</v>
      </c>
      <c r="O538" s="530"/>
      <c r="P538" s="530" t="s">
        <v>78</v>
      </c>
      <c r="Q538" s="530" t="s">
        <v>78</v>
      </c>
      <c r="R538" s="530" t="s">
        <v>78</v>
      </c>
      <c r="S538" s="530" t="s">
        <v>78</v>
      </c>
    </row>
    <row r="539" spans="1:19" x14ac:dyDescent="0.35">
      <c r="A539" s="530" t="s">
        <v>171</v>
      </c>
      <c r="B539" s="530">
        <v>330640</v>
      </c>
      <c r="C539" s="530">
        <v>17000</v>
      </c>
      <c r="D539" s="530" t="s">
        <v>78</v>
      </c>
      <c r="E539" s="530" t="s">
        <v>562</v>
      </c>
      <c r="F539" s="530" t="s">
        <v>78</v>
      </c>
      <c r="G539" s="530" t="s">
        <v>78</v>
      </c>
      <c r="H539" s="530" t="s">
        <v>78</v>
      </c>
      <c r="I539" s="530" t="s">
        <v>78</v>
      </c>
      <c r="J539" s="530" t="s">
        <v>78</v>
      </c>
      <c r="K539" s="530" t="s">
        <v>78</v>
      </c>
      <c r="L539" s="530" t="s">
        <v>78</v>
      </c>
      <c r="M539" s="530" t="s">
        <v>78</v>
      </c>
      <c r="N539" s="530" t="s">
        <v>196</v>
      </c>
      <c r="O539" s="530"/>
      <c r="P539" s="530" t="s">
        <v>78</v>
      </c>
      <c r="Q539" s="530" t="s">
        <v>78</v>
      </c>
      <c r="R539" s="530" t="s">
        <v>78</v>
      </c>
      <c r="S539" s="530" t="s">
        <v>78</v>
      </c>
    </row>
    <row r="540" spans="1:19" x14ac:dyDescent="0.35">
      <c r="A540" t="s">
        <v>171</v>
      </c>
      <c r="B540">
        <v>444680</v>
      </c>
      <c r="C540">
        <v>17000</v>
      </c>
      <c r="D540" t="s">
        <v>78</v>
      </c>
      <c r="E540" t="s">
        <v>348</v>
      </c>
      <c r="F540" t="s">
        <v>78</v>
      </c>
      <c r="G540" t="s">
        <v>78</v>
      </c>
      <c r="H540" t="s">
        <v>78</v>
      </c>
      <c r="I540" t="s">
        <v>78</v>
      </c>
      <c r="J540" t="s">
        <v>78</v>
      </c>
      <c r="K540" t="s">
        <v>78</v>
      </c>
      <c r="L540" t="s">
        <v>78</v>
      </c>
      <c r="M540" t="s">
        <v>78</v>
      </c>
      <c r="N540" t="s">
        <v>191</v>
      </c>
      <c r="P540" t="s">
        <v>78</v>
      </c>
      <c r="Q540" t="s">
        <v>78</v>
      </c>
      <c r="R540" t="s">
        <v>78</v>
      </c>
      <c r="S540" t="s">
        <v>78</v>
      </c>
    </row>
    <row r="541" spans="1:19" x14ac:dyDescent="0.35">
      <c r="A541" t="s">
        <v>171</v>
      </c>
      <c r="B541">
        <v>361680</v>
      </c>
      <c r="C541">
        <v>17000</v>
      </c>
      <c r="D541" t="s">
        <v>78</v>
      </c>
      <c r="E541" t="s">
        <v>562</v>
      </c>
      <c r="F541" t="s">
        <v>78</v>
      </c>
      <c r="G541" t="s">
        <v>78</v>
      </c>
      <c r="H541" t="s">
        <v>78</v>
      </c>
      <c r="I541" t="s">
        <v>78</v>
      </c>
      <c r="J541" t="s">
        <v>78</v>
      </c>
      <c r="K541" t="s">
        <v>78</v>
      </c>
      <c r="L541" t="s">
        <v>78</v>
      </c>
      <c r="M541" t="s">
        <v>78</v>
      </c>
      <c r="N541" t="s">
        <v>196</v>
      </c>
      <c r="O541" t="s">
        <v>78</v>
      </c>
      <c r="P541" t="s">
        <v>78</v>
      </c>
      <c r="Q541" t="s">
        <v>78</v>
      </c>
      <c r="R541" t="s">
        <v>78</v>
      </c>
      <c r="S541" t="s">
        <v>78</v>
      </c>
    </row>
    <row r="542" spans="1:19" x14ac:dyDescent="0.35">
      <c r="A542" s="531" t="s">
        <v>174</v>
      </c>
      <c r="B542" s="531">
        <v>622520</v>
      </c>
      <c r="C542" s="531">
        <v>17000</v>
      </c>
      <c r="D542" s="531" t="s">
        <v>78</v>
      </c>
      <c r="E542" s="531" t="s">
        <v>348</v>
      </c>
      <c r="F542" s="531" t="s">
        <v>78</v>
      </c>
      <c r="G542" s="531" t="s">
        <v>78</v>
      </c>
      <c r="H542" s="531" t="s">
        <v>78</v>
      </c>
      <c r="I542" s="531" t="s">
        <v>78</v>
      </c>
      <c r="J542" s="531" t="s">
        <v>78</v>
      </c>
      <c r="K542" s="531" t="s">
        <v>78</v>
      </c>
      <c r="L542" s="531" t="s">
        <v>78</v>
      </c>
      <c r="M542" s="531" t="s">
        <v>78</v>
      </c>
      <c r="N542" s="531" t="s">
        <v>191</v>
      </c>
      <c r="O542" s="531"/>
      <c r="P542" s="531" t="s">
        <v>78</v>
      </c>
      <c r="Q542" s="531" t="s">
        <v>78</v>
      </c>
      <c r="R542" s="531" t="s">
        <v>78</v>
      </c>
      <c r="S542" s="531" t="s">
        <v>78</v>
      </c>
    </row>
    <row r="543" spans="1:19" x14ac:dyDescent="0.35">
      <c r="A543" s="531" t="s">
        <v>174</v>
      </c>
      <c r="B543" s="531">
        <v>1130320</v>
      </c>
      <c r="C543" s="531">
        <v>17000</v>
      </c>
      <c r="D543" s="531" t="s">
        <v>78</v>
      </c>
      <c r="E543" s="531" t="s">
        <v>377</v>
      </c>
      <c r="F543" s="531" t="s">
        <v>78</v>
      </c>
      <c r="G543" s="531" t="s">
        <v>78</v>
      </c>
      <c r="H543" s="531" t="s">
        <v>78</v>
      </c>
      <c r="I543" s="531" t="s">
        <v>78</v>
      </c>
      <c r="J543" s="531" t="s">
        <v>78</v>
      </c>
      <c r="K543" s="531" t="s">
        <v>78</v>
      </c>
      <c r="L543" s="531" t="s">
        <v>78</v>
      </c>
      <c r="M543" s="531" t="s">
        <v>78</v>
      </c>
      <c r="N543" s="531" t="s">
        <v>161</v>
      </c>
      <c r="O543" s="531"/>
      <c r="P543" s="531" t="s">
        <v>78</v>
      </c>
      <c r="Q543" s="531" t="s">
        <v>78</v>
      </c>
      <c r="R543" s="531" t="s">
        <v>78</v>
      </c>
      <c r="S543" s="531" t="s">
        <v>78</v>
      </c>
    </row>
    <row r="544" spans="1:19" x14ac:dyDescent="0.35">
      <c r="A544" s="530" t="s">
        <v>174</v>
      </c>
      <c r="B544" s="530">
        <v>580440</v>
      </c>
      <c r="C544" s="530">
        <v>17000</v>
      </c>
      <c r="D544" s="530" t="s">
        <v>78</v>
      </c>
      <c r="E544" s="530" t="s">
        <v>562</v>
      </c>
      <c r="F544" s="530" t="s">
        <v>78</v>
      </c>
      <c r="G544" s="530" t="s">
        <v>78</v>
      </c>
      <c r="H544" s="530" t="s">
        <v>78</v>
      </c>
      <c r="I544" s="530" t="s">
        <v>78</v>
      </c>
      <c r="J544" s="530" t="s">
        <v>78</v>
      </c>
      <c r="K544" s="530" t="s">
        <v>78</v>
      </c>
      <c r="L544" s="530" t="s">
        <v>78</v>
      </c>
      <c r="M544" s="530" t="s">
        <v>78</v>
      </c>
      <c r="N544" s="530" t="s">
        <v>349</v>
      </c>
      <c r="O544" s="530"/>
      <c r="P544" s="530" t="s">
        <v>78</v>
      </c>
      <c r="Q544" s="530" t="s">
        <v>78</v>
      </c>
      <c r="R544" s="530" t="s">
        <v>78</v>
      </c>
      <c r="S544" s="530" t="s">
        <v>78</v>
      </c>
    </row>
    <row r="545" spans="1:19" x14ac:dyDescent="0.35">
      <c r="A545" t="s">
        <v>174</v>
      </c>
      <c r="B545">
        <v>490000</v>
      </c>
      <c r="C545">
        <v>17000</v>
      </c>
      <c r="D545" t="s">
        <v>78</v>
      </c>
      <c r="E545" t="s">
        <v>422</v>
      </c>
      <c r="F545" t="s">
        <v>78</v>
      </c>
      <c r="G545" t="s">
        <v>78</v>
      </c>
      <c r="H545" t="s">
        <v>78</v>
      </c>
      <c r="I545" t="s">
        <v>78</v>
      </c>
      <c r="J545" t="s">
        <v>78</v>
      </c>
      <c r="K545" t="s">
        <v>78</v>
      </c>
      <c r="L545" t="s">
        <v>78</v>
      </c>
      <c r="M545" t="s">
        <v>78</v>
      </c>
      <c r="N545" t="s">
        <v>196</v>
      </c>
      <c r="P545" t="s">
        <v>78</v>
      </c>
      <c r="Q545" t="s">
        <v>78</v>
      </c>
      <c r="R545" t="s">
        <v>78</v>
      </c>
      <c r="S545" t="s">
        <v>78</v>
      </c>
    </row>
    <row r="546" spans="1:19" x14ac:dyDescent="0.35">
      <c r="A546" t="s">
        <v>174</v>
      </c>
      <c r="B546">
        <v>542920</v>
      </c>
      <c r="C546">
        <v>17000</v>
      </c>
      <c r="D546" t="s">
        <v>78</v>
      </c>
      <c r="E546" t="s">
        <v>421</v>
      </c>
      <c r="F546" t="s">
        <v>78</v>
      </c>
      <c r="G546" t="s">
        <v>78</v>
      </c>
      <c r="H546" t="s">
        <v>78</v>
      </c>
      <c r="I546" t="s">
        <v>78</v>
      </c>
      <c r="J546" t="s">
        <v>78</v>
      </c>
      <c r="K546" t="s">
        <v>78</v>
      </c>
      <c r="L546" t="s">
        <v>78</v>
      </c>
      <c r="M546" t="s">
        <v>78</v>
      </c>
      <c r="N546" t="s">
        <v>350</v>
      </c>
      <c r="O546" t="s">
        <v>78</v>
      </c>
      <c r="P546" t="s">
        <v>78</v>
      </c>
      <c r="Q546" t="s">
        <v>78</v>
      </c>
      <c r="R546" t="s">
        <v>78</v>
      </c>
      <c r="S546" t="s">
        <v>78</v>
      </c>
    </row>
    <row r="547" spans="1:19" x14ac:dyDescent="0.35">
      <c r="A547" s="530" t="s">
        <v>178</v>
      </c>
      <c r="B547" s="530">
        <v>664240</v>
      </c>
      <c r="C547" s="530">
        <v>17000</v>
      </c>
      <c r="D547" s="530" t="s">
        <v>78</v>
      </c>
      <c r="E547" s="530" t="s">
        <v>348</v>
      </c>
      <c r="F547" s="530" t="s">
        <v>78</v>
      </c>
      <c r="G547" s="530" t="s">
        <v>78</v>
      </c>
      <c r="H547" s="530" t="s">
        <v>78</v>
      </c>
      <c r="I547" s="530" t="s">
        <v>78</v>
      </c>
      <c r="J547" s="530" t="s">
        <v>78</v>
      </c>
      <c r="K547" s="530" t="s">
        <v>78</v>
      </c>
      <c r="L547" s="530" t="s">
        <v>78</v>
      </c>
      <c r="M547" s="530" t="s">
        <v>78</v>
      </c>
      <c r="N547" s="530" t="s">
        <v>161</v>
      </c>
      <c r="O547" s="530"/>
      <c r="P547" s="530" t="s">
        <v>78</v>
      </c>
      <c r="Q547" s="530" t="s">
        <v>78</v>
      </c>
      <c r="R547" s="530" t="s">
        <v>78</v>
      </c>
      <c r="S547" s="530" t="s">
        <v>78</v>
      </c>
    </row>
    <row r="548" spans="1:19" x14ac:dyDescent="0.35">
      <c r="A548" s="530" t="s">
        <v>178</v>
      </c>
      <c r="B548" s="530">
        <v>1588560</v>
      </c>
      <c r="C548" s="530">
        <v>17000</v>
      </c>
      <c r="D548" s="530" t="s">
        <v>78</v>
      </c>
      <c r="E548" s="530" t="s">
        <v>347</v>
      </c>
      <c r="F548" s="530" t="s">
        <v>78</v>
      </c>
      <c r="G548" s="530" t="s">
        <v>78</v>
      </c>
      <c r="H548" s="530" t="s">
        <v>78</v>
      </c>
      <c r="I548" s="530" t="s">
        <v>78</v>
      </c>
      <c r="J548" s="530" t="s">
        <v>78</v>
      </c>
      <c r="K548" s="530" t="s">
        <v>78</v>
      </c>
      <c r="L548" s="530" t="s">
        <v>78</v>
      </c>
      <c r="M548" s="530" t="s">
        <v>78</v>
      </c>
      <c r="N548" s="530" t="s">
        <v>161</v>
      </c>
      <c r="O548" s="530"/>
      <c r="P548" s="530" t="s">
        <v>78</v>
      </c>
      <c r="Q548" s="530" t="s">
        <v>78</v>
      </c>
      <c r="R548" s="530" t="s">
        <v>78</v>
      </c>
      <c r="S548" s="530" t="s">
        <v>78</v>
      </c>
    </row>
    <row r="549" spans="1:19" x14ac:dyDescent="0.35">
      <c r="A549" s="531" t="s">
        <v>178</v>
      </c>
      <c r="B549" s="531">
        <v>606040</v>
      </c>
      <c r="C549" s="531">
        <v>17000</v>
      </c>
      <c r="D549" s="531" t="s">
        <v>78</v>
      </c>
      <c r="E549" s="531" t="s">
        <v>562</v>
      </c>
      <c r="F549" s="531" t="s">
        <v>78</v>
      </c>
      <c r="G549" s="531" t="s">
        <v>78</v>
      </c>
      <c r="H549" s="531" t="s">
        <v>78</v>
      </c>
      <c r="I549" s="531" t="s">
        <v>78</v>
      </c>
      <c r="J549" s="531" t="s">
        <v>78</v>
      </c>
      <c r="K549" s="531" t="s">
        <v>78</v>
      </c>
      <c r="L549" s="531" t="s">
        <v>78</v>
      </c>
      <c r="M549" s="531" t="s">
        <v>78</v>
      </c>
      <c r="N549" s="531" t="s">
        <v>196</v>
      </c>
      <c r="O549" s="531"/>
      <c r="P549" s="531" t="s">
        <v>78</v>
      </c>
      <c r="Q549" s="531" t="s">
        <v>78</v>
      </c>
      <c r="R549" s="531" t="s">
        <v>78</v>
      </c>
      <c r="S549" s="531" t="s">
        <v>78</v>
      </c>
    </row>
    <row r="550" spans="1:19" x14ac:dyDescent="0.35">
      <c r="A550" t="s">
        <v>178</v>
      </c>
      <c r="B550">
        <v>766240</v>
      </c>
      <c r="C550">
        <v>17000</v>
      </c>
      <c r="D550" t="s">
        <v>78</v>
      </c>
      <c r="E550" t="s">
        <v>348</v>
      </c>
      <c r="F550" t="s">
        <v>78</v>
      </c>
      <c r="G550" t="s">
        <v>78</v>
      </c>
      <c r="H550" t="s">
        <v>78</v>
      </c>
      <c r="I550" t="s">
        <v>78</v>
      </c>
      <c r="J550" t="s">
        <v>78</v>
      </c>
      <c r="K550" t="s">
        <v>78</v>
      </c>
      <c r="L550" t="s">
        <v>78</v>
      </c>
      <c r="M550" t="s">
        <v>78</v>
      </c>
      <c r="N550" t="s">
        <v>161</v>
      </c>
      <c r="P550" t="s">
        <v>78</v>
      </c>
      <c r="Q550" t="s">
        <v>78</v>
      </c>
      <c r="R550" t="s">
        <v>78</v>
      </c>
      <c r="S550" t="s">
        <v>78</v>
      </c>
    </row>
    <row r="551" spans="1:19" x14ac:dyDescent="0.35">
      <c r="A551" t="s">
        <v>178</v>
      </c>
      <c r="B551">
        <v>542920</v>
      </c>
      <c r="C551">
        <v>17000</v>
      </c>
      <c r="D551" t="s">
        <v>78</v>
      </c>
      <c r="E551" t="s">
        <v>348</v>
      </c>
      <c r="F551" t="s">
        <v>78</v>
      </c>
      <c r="G551" t="s">
        <v>78</v>
      </c>
      <c r="H551" t="s">
        <v>78</v>
      </c>
      <c r="I551" t="s">
        <v>78</v>
      </c>
      <c r="J551" t="s">
        <v>78</v>
      </c>
      <c r="K551" t="s">
        <v>78</v>
      </c>
      <c r="L551" t="s">
        <v>78</v>
      </c>
      <c r="M551" t="s">
        <v>78</v>
      </c>
      <c r="N551" t="s">
        <v>492</v>
      </c>
      <c r="O551" t="s">
        <v>78</v>
      </c>
      <c r="P551" t="s">
        <v>78</v>
      </c>
      <c r="Q551" t="s">
        <v>78</v>
      </c>
      <c r="R551" t="s">
        <v>78</v>
      </c>
      <c r="S551" t="s">
        <v>78</v>
      </c>
    </row>
    <row r="552" spans="1:19" x14ac:dyDescent="0.35">
      <c r="A552" s="531" t="s">
        <v>187</v>
      </c>
      <c r="B552" s="531">
        <v>722200</v>
      </c>
      <c r="C552" s="531">
        <v>17000</v>
      </c>
      <c r="D552" s="531" t="s">
        <v>78</v>
      </c>
      <c r="E552" s="531" t="s">
        <v>439</v>
      </c>
      <c r="F552" s="531" t="s">
        <v>78</v>
      </c>
      <c r="G552" s="531" t="s">
        <v>78</v>
      </c>
      <c r="H552" s="531" t="s">
        <v>78</v>
      </c>
      <c r="I552" s="531" t="s">
        <v>78</v>
      </c>
      <c r="J552" s="531" t="s">
        <v>78</v>
      </c>
      <c r="K552" s="531" t="s">
        <v>78</v>
      </c>
      <c r="L552" s="531" t="s">
        <v>78</v>
      </c>
      <c r="M552" s="531" t="s">
        <v>78</v>
      </c>
      <c r="N552" s="531" t="s">
        <v>196</v>
      </c>
      <c r="O552" s="531"/>
      <c r="P552" s="531" t="s">
        <v>78</v>
      </c>
      <c r="Q552" s="531" t="s">
        <v>78</v>
      </c>
      <c r="R552" s="531" t="s">
        <v>78</v>
      </c>
      <c r="S552" s="531" t="s">
        <v>78</v>
      </c>
    </row>
    <row r="553" spans="1:19" x14ac:dyDescent="0.35">
      <c r="A553" s="530" t="s">
        <v>187</v>
      </c>
      <c r="B553" s="530">
        <v>606040</v>
      </c>
      <c r="C553" s="530">
        <v>17000</v>
      </c>
      <c r="D553" s="530" t="s">
        <v>78</v>
      </c>
      <c r="E553" s="530" t="s">
        <v>415</v>
      </c>
      <c r="F553" s="530" t="s">
        <v>78</v>
      </c>
      <c r="G553" s="530" t="s">
        <v>78</v>
      </c>
      <c r="H553" s="530" t="s">
        <v>78</v>
      </c>
      <c r="I553" s="530" t="s">
        <v>78</v>
      </c>
      <c r="J553" s="530" t="s">
        <v>78</v>
      </c>
      <c r="K553" s="530" t="s">
        <v>78</v>
      </c>
      <c r="L553" s="530" t="s">
        <v>78</v>
      </c>
      <c r="M553" s="530" t="s">
        <v>78</v>
      </c>
      <c r="N553" s="530" t="s">
        <v>196</v>
      </c>
      <c r="O553" s="530"/>
      <c r="P553" s="530" t="s">
        <v>78</v>
      </c>
      <c r="Q553" s="530" t="s">
        <v>78</v>
      </c>
      <c r="R553" s="530" t="s">
        <v>78</v>
      </c>
      <c r="S553" s="530" t="s">
        <v>78</v>
      </c>
    </row>
    <row r="554" spans="1:19" x14ac:dyDescent="0.35">
      <c r="A554" t="s">
        <v>187</v>
      </c>
      <c r="B554">
        <v>837440</v>
      </c>
      <c r="C554">
        <v>17000</v>
      </c>
      <c r="D554" t="s">
        <v>78</v>
      </c>
      <c r="E554" t="s">
        <v>422</v>
      </c>
      <c r="F554" t="s">
        <v>78</v>
      </c>
      <c r="G554" t="s">
        <v>78</v>
      </c>
      <c r="H554" t="s">
        <v>78</v>
      </c>
      <c r="I554" t="s">
        <v>78</v>
      </c>
      <c r="J554" t="s">
        <v>78</v>
      </c>
      <c r="K554" t="s">
        <v>78</v>
      </c>
      <c r="L554" t="s">
        <v>78</v>
      </c>
      <c r="M554" t="s">
        <v>78</v>
      </c>
      <c r="N554" t="s">
        <v>350</v>
      </c>
      <c r="P554" t="s">
        <v>78</v>
      </c>
      <c r="Q554" t="s">
        <v>78</v>
      </c>
      <c r="R554" t="s">
        <v>78</v>
      </c>
      <c r="S554" t="s">
        <v>78</v>
      </c>
    </row>
    <row r="555" spans="1:19" x14ac:dyDescent="0.35">
      <c r="A555" t="s">
        <v>187</v>
      </c>
      <c r="B555">
        <v>791400</v>
      </c>
      <c r="C555">
        <v>17000</v>
      </c>
      <c r="D555" t="s">
        <v>78</v>
      </c>
      <c r="E555" t="s">
        <v>348</v>
      </c>
      <c r="F555" t="s">
        <v>78</v>
      </c>
      <c r="G555" t="s">
        <v>78</v>
      </c>
      <c r="H555" t="s">
        <v>78</v>
      </c>
      <c r="I555" t="s">
        <v>78</v>
      </c>
      <c r="J555" t="s">
        <v>78</v>
      </c>
      <c r="K555" t="s">
        <v>78</v>
      </c>
      <c r="L555" t="s">
        <v>78</v>
      </c>
      <c r="M555" t="s">
        <v>78</v>
      </c>
      <c r="N555" t="s">
        <v>161</v>
      </c>
      <c r="O555" t="s">
        <v>78</v>
      </c>
      <c r="P555" t="s">
        <v>78</v>
      </c>
      <c r="Q555" t="s">
        <v>78</v>
      </c>
      <c r="R555" t="s">
        <v>78</v>
      </c>
      <c r="S555" t="s">
        <v>78</v>
      </c>
    </row>
    <row r="556" spans="1:19" x14ac:dyDescent="0.35">
      <c r="A556" s="530" t="s">
        <v>189</v>
      </c>
      <c r="B556" s="530">
        <v>1382360</v>
      </c>
      <c r="C556" s="530">
        <v>17000</v>
      </c>
      <c r="D556" s="530" t="s">
        <v>78</v>
      </c>
      <c r="E556" s="530" t="s">
        <v>348</v>
      </c>
      <c r="F556" s="530" t="s">
        <v>78</v>
      </c>
      <c r="G556" s="530" t="s">
        <v>78</v>
      </c>
      <c r="H556" s="530" t="s">
        <v>78</v>
      </c>
      <c r="I556" s="530" t="s">
        <v>78</v>
      </c>
      <c r="J556" s="530" t="s">
        <v>78</v>
      </c>
      <c r="K556" s="530" t="s">
        <v>78</v>
      </c>
      <c r="L556" s="530" t="s">
        <v>78</v>
      </c>
      <c r="M556" s="530" t="s">
        <v>78</v>
      </c>
      <c r="N556" s="530" t="s">
        <v>161</v>
      </c>
      <c r="O556" s="530"/>
      <c r="P556" s="530" t="s">
        <v>78</v>
      </c>
      <c r="Q556" s="530" t="s">
        <v>78</v>
      </c>
      <c r="R556" s="530" t="s">
        <v>78</v>
      </c>
      <c r="S556" s="530" t="s">
        <v>78</v>
      </c>
    </row>
    <row r="557" spans="1:19" x14ac:dyDescent="0.35">
      <c r="A557" s="530" t="s">
        <v>189</v>
      </c>
      <c r="B557" s="530">
        <v>643360</v>
      </c>
      <c r="C557" s="530">
        <v>17000</v>
      </c>
      <c r="D557" s="530" t="s">
        <v>78</v>
      </c>
      <c r="E557" s="530" t="s">
        <v>562</v>
      </c>
      <c r="F557" s="530" t="s">
        <v>78</v>
      </c>
      <c r="G557" s="530" t="s">
        <v>78</v>
      </c>
      <c r="H557" s="530" t="s">
        <v>78</v>
      </c>
      <c r="I557" s="530" t="s">
        <v>78</v>
      </c>
      <c r="J557" s="530" t="s">
        <v>78</v>
      </c>
      <c r="K557" s="530" t="s">
        <v>78</v>
      </c>
      <c r="L557" s="530" t="s">
        <v>78</v>
      </c>
      <c r="M557" s="530" t="s">
        <v>78</v>
      </c>
      <c r="N557" s="530" t="s">
        <v>75</v>
      </c>
      <c r="O557" s="530"/>
      <c r="P557" s="530" t="s">
        <v>78</v>
      </c>
      <c r="Q557" s="530" t="s">
        <v>78</v>
      </c>
      <c r="R557" s="530" t="s">
        <v>78</v>
      </c>
      <c r="S557" s="530" t="s">
        <v>78</v>
      </c>
    </row>
    <row r="558" spans="1:19" x14ac:dyDescent="0.35">
      <c r="A558" t="s">
        <v>189</v>
      </c>
      <c r="B558">
        <v>877080</v>
      </c>
      <c r="C558">
        <v>17000</v>
      </c>
      <c r="D558" t="s">
        <v>78</v>
      </c>
      <c r="E558" t="s">
        <v>415</v>
      </c>
      <c r="F558" t="s">
        <v>78</v>
      </c>
      <c r="G558" t="s">
        <v>78</v>
      </c>
      <c r="H558" t="s">
        <v>78</v>
      </c>
      <c r="I558" t="s">
        <v>78</v>
      </c>
      <c r="J558" t="s">
        <v>78</v>
      </c>
      <c r="K558" t="s">
        <v>78</v>
      </c>
      <c r="L558" t="s">
        <v>78</v>
      </c>
      <c r="M558" t="s">
        <v>78</v>
      </c>
      <c r="N558" t="s">
        <v>350</v>
      </c>
      <c r="P558" t="s">
        <v>78</v>
      </c>
      <c r="Q558" t="s">
        <v>78</v>
      </c>
      <c r="R558" t="s">
        <v>78</v>
      </c>
      <c r="S558" t="s">
        <v>78</v>
      </c>
    </row>
    <row r="559" spans="1:19" x14ac:dyDescent="0.35">
      <c r="A559" t="s">
        <v>189</v>
      </c>
      <c r="B559">
        <v>872360</v>
      </c>
      <c r="C559">
        <v>17000</v>
      </c>
      <c r="D559" t="s">
        <v>78</v>
      </c>
      <c r="E559" t="s">
        <v>421</v>
      </c>
      <c r="F559" t="s">
        <v>78</v>
      </c>
      <c r="G559" t="s">
        <v>78</v>
      </c>
      <c r="H559" t="s">
        <v>78</v>
      </c>
      <c r="I559" t="s">
        <v>78</v>
      </c>
      <c r="J559" t="s">
        <v>78</v>
      </c>
      <c r="K559" t="s">
        <v>78</v>
      </c>
      <c r="L559" t="s">
        <v>78</v>
      </c>
      <c r="M559" t="s">
        <v>78</v>
      </c>
      <c r="N559" t="s">
        <v>209</v>
      </c>
      <c r="O559" t="s">
        <v>78</v>
      </c>
      <c r="P559" t="s">
        <v>78</v>
      </c>
      <c r="Q559" t="s">
        <v>78</v>
      </c>
      <c r="R559" t="s">
        <v>78</v>
      </c>
      <c r="S559" t="s">
        <v>78</v>
      </c>
    </row>
    <row r="560" spans="1:19" x14ac:dyDescent="0.35">
      <c r="A560" s="531" t="s">
        <v>190</v>
      </c>
      <c r="B560" s="531">
        <v>40440</v>
      </c>
      <c r="C560" s="531">
        <v>17000</v>
      </c>
      <c r="D560" s="531" t="s">
        <v>78</v>
      </c>
      <c r="E560" s="531" t="s">
        <v>347</v>
      </c>
      <c r="F560" s="531" t="s">
        <v>78</v>
      </c>
      <c r="G560" s="531" t="s">
        <v>78</v>
      </c>
      <c r="H560" s="531" t="s">
        <v>78</v>
      </c>
      <c r="I560" s="531" t="s">
        <v>78</v>
      </c>
      <c r="J560" s="531" t="s">
        <v>78</v>
      </c>
      <c r="K560" s="531" t="s">
        <v>78</v>
      </c>
      <c r="L560" s="531" t="s">
        <v>78</v>
      </c>
      <c r="M560" s="531" t="s">
        <v>78</v>
      </c>
      <c r="N560" s="531" t="s">
        <v>161</v>
      </c>
      <c r="O560" s="531"/>
      <c r="P560" s="531" t="s">
        <v>78</v>
      </c>
      <c r="Q560" s="531" t="s">
        <v>78</v>
      </c>
      <c r="R560" s="531" t="s">
        <v>78</v>
      </c>
      <c r="S560" s="531" t="s">
        <v>78</v>
      </c>
    </row>
    <row r="561" spans="1:19" x14ac:dyDescent="0.35">
      <c r="A561" s="530" t="s">
        <v>190</v>
      </c>
      <c r="B561" s="530">
        <v>795880</v>
      </c>
      <c r="C561" s="530">
        <v>17000</v>
      </c>
      <c r="D561" s="530" t="s">
        <v>78</v>
      </c>
      <c r="E561" s="530" t="s">
        <v>348</v>
      </c>
      <c r="F561" s="530" t="s">
        <v>78</v>
      </c>
      <c r="G561" s="530" t="s">
        <v>78</v>
      </c>
      <c r="H561" s="530" t="s">
        <v>78</v>
      </c>
      <c r="I561" s="530" t="s">
        <v>78</v>
      </c>
      <c r="J561" s="530" t="s">
        <v>78</v>
      </c>
      <c r="K561" s="530" t="s">
        <v>78</v>
      </c>
      <c r="L561" s="530" t="s">
        <v>78</v>
      </c>
      <c r="M561" s="530" t="s">
        <v>78</v>
      </c>
      <c r="N561" s="530" t="s">
        <v>161</v>
      </c>
      <c r="O561" s="530"/>
      <c r="P561" s="530" t="s">
        <v>78</v>
      </c>
      <c r="Q561" s="530" t="s">
        <v>78</v>
      </c>
      <c r="R561" s="530" t="s">
        <v>78</v>
      </c>
      <c r="S561" s="530" t="s">
        <v>78</v>
      </c>
    </row>
    <row r="562" spans="1:19" x14ac:dyDescent="0.35">
      <c r="A562" t="s">
        <v>190</v>
      </c>
      <c r="B562">
        <v>1038920</v>
      </c>
      <c r="C562">
        <v>17000</v>
      </c>
      <c r="D562" t="s">
        <v>78</v>
      </c>
      <c r="E562" t="s">
        <v>562</v>
      </c>
      <c r="F562" t="s">
        <v>78</v>
      </c>
      <c r="G562" t="s">
        <v>78</v>
      </c>
      <c r="H562" t="s">
        <v>78</v>
      </c>
      <c r="I562" t="s">
        <v>78</v>
      </c>
      <c r="J562" t="s">
        <v>78</v>
      </c>
      <c r="K562" t="s">
        <v>78</v>
      </c>
      <c r="L562" t="s">
        <v>78</v>
      </c>
      <c r="M562" t="s">
        <v>78</v>
      </c>
      <c r="N562" t="s">
        <v>191</v>
      </c>
      <c r="P562" t="s">
        <v>78</v>
      </c>
      <c r="Q562" t="s">
        <v>78</v>
      </c>
      <c r="R562" t="s">
        <v>78</v>
      </c>
      <c r="S562" t="s">
        <v>78</v>
      </c>
    </row>
    <row r="563" spans="1:19" x14ac:dyDescent="0.35">
      <c r="A563" t="s">
        <v>190</v>
      </c>
      <c r="B563">
        <v>940520</v>
      </c>
      <c r="C563">
        <v>17000</v>
      </c>
      <c r="D563" t="s">
        <v>78</v>
      </c>
      <c r="E563" t="s">
        <v>439</v>
      </c>
      <c r="F563" t="s">
        <v>78</v>
      </c>
      <c r="G563" t="s">
        <v>78</v>
      </c>
      <c r="H563" t="s">
        <v>78</v>
      </c>
      <c r="I563" t="s">
        <v>78</v>
      </c>
      <c r="J563" t="s">
        <v>78</v>
      </c>
      <c r="K563" t="s">
        <v>78</v>
      </c>
      <c r="L563" t="s">
        <v>78</v>
      </c>
      <c r="M563" t="s">
        <v>78</v>
      </c>
      <c r="N563" t="s">
        <v>191</v>
      </c>
      <c r="O563" t="s">
        <v>78</v>
      </c>
      <c r="P563" t="s">
        <v>78</v>
      </c>
      <c r="Q563" t="s">
        <v>78</v>
      </c>
      <c r="R563" t="s">
        <v>78</v>
      </c>
      <c r="S563" t="s">
        <v>78</v>
      </c>
    </row>
    <row r="564" spans="1:19" x14ac:dyDescent="0.35">
      <c r="A564" s="530" t="s">
        <v>242</v>
      </c>
      <c r="B564" s="530">
        <v>271920</v>
      </c>
      <c r="C564" s="530">
        <v>17000</v>
      </c>
      <c r="D564" s="530" t="s">
        <v>78</v>
      </c>
      <c r="E564" s="530" t="s">
        <v>421</v>
      </c>
      <c r="F564" s="530" t="s">
        <v>78</v>
      </c>
      <c r="G564" s="530" t="s">
        <v>78</v>
      </c>
      <c r="H564" s="530" t="s">
        <v>78</v>
      </c>
      <c r="I564" s="530" t="s">
        <v>78</v>
      </c>
      <c r="J564" s="530" t="s">
        <v>78</v>
      </c>
      <c r="K564" s="530" t="s">
        <v>78</v>
      </c>
      <c r="L564" s="530" t="s">
        <v>78</v>
      </c>
      <c r="M564" s="530" t="s">
        <v>78</v>
      </c>
      <c r="N564" s="530" t="s">
        <v>350</v>
      </c>
      <c r="O564" s="530"/>
      <c r="P564" s="530" t="s">
        <v>78</v>
      </c>
      <c r="Q564" s="530" t="s">
        <v>78</v>
      </c>
      <c r="R564" s="530" t="s">
        <v>78</v>
      </c>
      <c r="S564" s="530" t="s">
        <v>78</v>
      </c>
    </row>
    <row r="565" spans="1:19" x14ac:dyDescent="0.35">
      <c r="A565" s="531" t="s">
        <v>242</v>
      </c>
      <c r="B565" s="531">
        <v>862040</v>
      </c>
      <c r="C565" s="531">
        <v>17000</v>
      </c>
      <c r="D565" s="531" t="s">
        <v>78</v>
      </c>
      <c r="E565" s="531" t="s">
        <v>415</v>
      </c>
      <c r="F565" s="531" t="s">
        <v>78</v>
      </c>
      <c r="G565" s="531" t="s">
        <v>78</v>
      </c>
      <c r="H565" s="531" t="s">
        <v>78</v>
      </c>
      <c r="I565" s="531" t="s">
        <v>78</v>
      </c>
      <c r="J565" s="531" t="s">
        <v>78</v>
      </c>
      <c r="K565" s="531" t="s">
        <v>78</v>
      </c>
      <c r="L565" s="531" t="s">
        <v>78</v>
      </c>
      <c r="M565" s="531" t="s">
        <v>78</v>
      </c>
      <c r="N565" s="531" t="s">
        <v>153</v>
      </c>
      <c r="O565" s="531"/>
      <c r="P565" s="531" t="s">
        <v>78</v>
      </c>
      <c r="Q565" s="531" t="s">
        <v>78</v>
      </c>
      <c r="R565" s="531" t="s">
        <v>78</v>
      </c>
      <c r="S565" s="531" t="s">
        <v>78</v>
      </c>
    </row>
    <row r="566" spans="1:19" x14ac:dyDescent="0.35">
      <c r="A566" t="s">
        <v>242</v>
      </c>
      <c r="B566">
        <v>1097560</v>
      </c>
      <c r="C566">
        <v>17000</v>
      </c>
      <c r="D566" t="s">
        <v>78</v>
      </c>
      <c r="E566" t="s">
        <v>347</v>
      </c>
      <c r="F566" t="s">
        <v>78</v>
      </c>
      <c r="G566" t="s">
        <v>78</v>
      </c>
      <c r="H566" t="s">
        <v>78</v>
      </c>
      <c r="I566" t="s">
        <v>78</v>
      </c>
      <c r="J566" t="s">
        <v>78</v>
      </c>
      <c r="K566" t="s">
        <v>78</v>
      </c>
      <c r="L566" t="s">
        <v>78</v>
      </c>
      <c r="M566" t="s">
        <v>78</v>
      </c>
      <c r="N566" t="s">
        <v>191</v>
      </c>
      <c r="P566" t="s">
        <v>78</v>
      </c>
      <c r="Q566" t="s">
        <v>78</v>
      </c>
      <c r="R566" t="s">
        <v>78</v>
      </c>
      <c r="S566" t="s">
        <v>78</v>
      </c>
    </row>
    <row r="567" spans="1:19" x14ac:dyDescent="0.35">
      <c r="A567" t="s">
        <v>242</v>
      </c>
      <c r="B567">
        <v>1034000</v>
      </c>
      <c r="C567">
        <v>17000</v>
      </c>
      <c r="D567" t="s">
        <v>78</v>
      </c>
      <c r="E567" t="s">
        <v>348</v>
      </c>
      <c r="F567" t="s">
        <v>78</v>
      </c>
      <c r="G567" t="s">
        <v>78</v>
      </c>
      <c r="H567" t="s">
        <v>78</v>
      </c>
      <c r="I567" t="s">
        <v>78</v>
      </c>
      <c r="J567" t="s">
        <v>78</v>
      </c>
      <c r="K567" t="s">
        <v>78</v>
      </c>
      <c r="L567" t="s">
        <v>78</v>
      </c>
      <c r="M567" t="s">
        <v>78</v>
      </c>
      <c r="N567" t="s">
        <v>191</v>
      </c>
      <c r="O567" t="s">
        <v>78</v>
      </c>
      <c r="P567" t="s">
        <v>78</v>
      </c>
      <c r="Q567" t="s">
        <v>78</v>
      </c>
      <c r="R567" t="s">
        <v>78</v>
      </c>
      <c r="S567" t="s">
        <v>78</v>
      </c>
    </row>
    <row r="568" spans="1:19" x14ac:dyDescent="0.35">
      <c r="A568" s="531" t="s">
        <v>137</v>
      </c>
      <c r="B568" s="531">
        <v>405880</v>
      </c>
      <c r="C568" s="531">
        <v>17000</v>
      </c>
      <c r="D568" s="531" t="s">
        <v>78</v>
      </c>
      <c r="E568" s="531" t="s">
        <v>439</v>
      </c>
      <c r="F568" s="531" t="s">
        <v>78</v>
      </c>
      <c r="G568" s="531" t="s">
        <v>78</v>
      </c>
      <c r="H568" s="531" t="s">
        <v>78</v>
      </c>
      <c r="I568" s="531" t="s">
        <v>78</v>
      </c>
      <c r="J568" s="531" t="s">
        <v>78</v>
      </c>
      <c r="K568" s="531" t="s">
        <v>78</v>
      </c>
      <c r="L568" s="531" t="s">
        <v>78</v>
      </c>
      <c r="M568" s="531" t="s">
        <v>278</v>
      </c>
      <c r="N568" s="531" t="s">
        <v>78</v>
      </c>
      <c r="O568" s="531"/>
      <c r="P568" s="531" t="s">
        <v>78</v>
      </c>
      <c r="Q568" s="531" t="s">
        <v>78</v>
      </c>
      <c r="R568" s="531" t="s">
        <v>78</v>
      </c>
      <c r="S568" s="531" t="s">
        <v>78</v>
      </c>
    </row>
    <row r="569" spans="1:19" x14ac:dyDescent="0.35">
      <c r="A569" s="531" t="s">
        <v>137</v>
      </c>
      <c r="B569" s="531">
        <v>647160</v>
      </c>
      <c r="C569" s="531">
        <v>17000</v>
      </c>
      <c r="D569" s="531" t="s">
        <v>78</v>
      </c>
      <c r="E569" s="531" t="s">
        <v>346</v>
      </c>
      <c r="F569" s="531" t="s">
        <v>78</v>
      </c>
      <c r="G569" s="531" t="s">
        <v>78</v>
      </c>
      <c r="H569" s="531" t="s">
        <v>78</v>
      </c>
      <c r="I569" s="531" t="s">
        <v>78</v>
      </c>
      <c r="J569" s="531" t="s">
        <v>78</v>
      </c>
      <c r="K569" s="531" t="s">
        <v>78</v>
      </c>
      <c r="L569" s="531" t="s">
        <v>78</v>
      </c>
      <c r="M569" s="531" t="s">
        <v>193</v>
      </c>
      <c r="N569" s="531" t="s">
        <v>78</v>
      </c>
      <c r="O569" s="531"/>
      <c r="P569" s="531" t="s">
        <v>78</v>
      </c>
      <c r="Q569" s="531" t="s">
        <v>78</v>
      </c>
      <c r="R569" s="531" t="s">
        <v>78</v>
      </c>
      <c r="S569" s="531" t="s">
        <v>78</v>
      </c>
    </row>
    <row r="570" spans="1:19" x14ac:dyDescent="0.35">
      <c r="A570" s="530" t="s">
        <v>137</v>
      </c>
      <c r="B570" s="530">
        <v>160600</v>
      </c>
      <c r="C570" s="530">
        <v>17000</v>
      </c>
      <c r="D570" s="530" t="s">
        <v>78</v>
      </c>
      <c r="E570" s="530" t="s">
        <v>344</v>
      </c>
      <c r="F570" s="530" t="s">
        <v>78</v>
      </c>
      <c r="G570" s="530" t="s">
        <v>78</v>
      </c>
      <c r="H570" s="530" t="s">
        <v>78</v>
      </c>
      <c r="I570" s="530" t="s">
        <v>78</v>
      </c>
      <c r="J570" s="530" t="s">
        <v>78</v>
      </c>
      <c r="K570" s="530" t="s">
        <v>78</v>
      </c>
      <c r="L570" s="530" t="s">
        <v>78</v>
      </c>
      <c r="M570" s="530" t="s">
        <v>193</v>
      </c>
      <c r="N570" s="530" t="s">
        <v>78</v>
      </c>
      <c r="O570" s="530"/>
      <c r="P570" s="530" t="s">
        <v>78</v>
      </c>
      <c r="Q570" s="530" t="s">
        <v>78</v>
      </c>
      <c r="R570" s="530" t="s">
        <v>78</v>
      </c>
      <c r="S570" s="530" t="s">
        <v>78</v>
      </c>
    </row>
    <row r="571" spans="1:19" x14ac:dyDescent="0.35">
      <c r="A571" t="s">
        <v>137</v>
      </c>
      <c r="B571">
        <v>164080</v>
      </c>
      <c r="C571">
        <v>17000</v>
      </c>
      <c r="D571" t="s">
        <v>78</v>
      </c>
      <c r="E571" t="s">
        <v>439</v>
      </c>
      <c r="F571" t="s">
        <v>78</v>
      </c>
      <c r="G571" t="s">
        <v>78</v>
      </c>
      <c r="H571" t="s">
        <v>78</v>
      </c>
      <c r="I571" t="s">
        <v>78</v>
      </c>
      <c r="J571" t="s">
        <v>78</v>
      </c>
      <c r="K571" t="s">
        <v>78</v>
      </c>
      <c r="L571" t="s">
        <v>78</v>
      </c>
      <c r="M571" t="s">
        <v>278</v>
      </c>
      <c r="N571" t="s">
        <v>78</v>
      </c>
      <c r="P571" t="s">
        <v>78</v>
      </c>
      <c r="Q571" t="s">
        <v>78</v>
      </c>
      <c r="R571" t="s">
        <v>78</v>
      </c>
      <c r="S571" t="s">
        <v>78</v>
      </c>
    </row>
    <row r="572" spans="1:19" x14ac:dyDescent="0.35">
      <c r="A572" t="s">
        <v>137</v>
      </c>
      <c r="B572">
        <v>286280</v>
      </c>
      <c r="C572">
        <v>17000</v>
      </c>
      <c r="D572" t="s">
        <v>78</v>
      </c>
      <c r="E572" t="s">
        <v>439</v>
      </c>
      <c r="F572" t="s">
        <v>78</v>
      </c>
      <c r="G572" t="s">
        <v>78</v>
      </c>
      <c r="H572" t="s">
        <v>78</v>
      </c>
      <c r="I572" t="s">
        <v>78</v>
      </c>
      <c r="J572" t="s">
        <v>78</v>
      </c>
      <c r="K572" t="s">
        <v>78</v>
      </c>
      <c r="L572" t="s">
        <v>78</v>
      </c>
      <c r="M572" t="s">
        <v>160</v>
      </c>
      <c r="N572" t="s">
        <v>78</v>
      </c>
      <c r="O572" t="s">
        <v>78</v>
      </c>
      <c r="P572" t="s">
        <v>78</v>
      </c>
      <c r="Q572" t="s">
        <v>78</v>
      </c>
      <c r="R572" t="s">
        <v>78</v>
      </c>
      <c r="S572" t="s">
        <v>78</v>
      </c>
    </row>
    <row r="573" spans="1:19" x14ac:dyDescent="0.35">
      <c r="A573" s="530" t="s">
        <v>183</v>
      </c>
      <c r="B573" s="530">
        <v>1403840</v>
      </c>
      <c r="C573" s="530">
        <v>17000</v>
      </c>
      <c r="D573" s="530" t="s">
        <v>78</v>
      </c>
      <c r="E573" s="530" t="s">
        <v>346</v>
      </c>
      <c r="F573" s="530" t="s">
        <v>78</v>
      </c>
      <c r="G573" s="530" t="s">
        <v>78</v>
      </c>
      <c r="H573" s="530" t="s">
        <v>78</v>
      </c>
      <c r="I573" s="530" t="s">
        <v>78</v>
      </c>
      <c r="J573" s="530" t="s">
        <v>78</v>
      </c>
      <c r="K573" s="530" t="s">
        <v>78</v>
      </c>
      <c r="L573" s="530" t="s">
        <v>78</v>
      </c>
      <c r="M573" s="530" t="s">
        <v>164</v>
      </c>
      <c r="N573" s="530" t="s">
        <v>78</v>
      </c>
      <c r="O573" s="530"/>
      <c r="P573" s="530" t="s">
        <v>78</v>
      </c>
      <c r="Q573" s="530" t="s">
        <v>78</v>
      </c>
      <c r="R573" s="530" t="s">
        <v>78</v>
      </c>
      <c r="S573" s="530" t="s">
        <v>78</v>
      </c>
    </row>
    <row r="574" spans="1:19" x14ac:dyDescent="0.35">
      <c r="A574" s="531" t="s">
        <v>183</v>
      </c>
      <c r="B574" s="531">
        <v>1527720</v>
      </c>
      <c r="C574" s="531">
        <v>17000</v>
      </c>
      <c r="D574" s="531" t="s">
        <v>78</v>
      </c>
      <c r="E574" s="531" t="s">
        <v>377</v>
      </c>
      <c r="F574" s="531" t="s">
        <v>78</v>
      </c>
      <c r="G574" s="531" t="s">
        <v>78</v>
      </c>
      <c r="H574" s="531" t="s">
        <v>78</v>
      </c>
      <c r="I574" s="531" t="s">
        <v>78</v>
      </c>
      <c r="J574" s="531" t="s">
        <v>78</v>
      </c>
      <c r="K574" s="531" t="s">
        <v>78</v>
      </c>
      <c r="L574" s="531" t="s">
        <v>78</v>
      </c>
      <c r="M574" s="531" t="s">
        <v>185</v>
      </c>
      <c r="N574" s="531" t="s">
        <v>78</v>
      </c>
      <c r="O574" s="531"/>
      <c r="P574" s="531" t="s">
        <v>78</v>
      </c>
      <c r="Q574" s="531" t="s">
        <v>78</v>
      </c>
      <c r="R574" s="531" t="s">
        <v>78</v>
      </c>
      <c r="S574" s="531" t="s">
        <v>78</v>
      </c>
    </row>
    <row r="575" spans="1:19" x14ac:dyDescent="0.35">
      <c r="A575" s="530" t="s">
        <v>183</v>
      </c>
      <c r="B575" s="530">
        <v>1423200</v>
      </c>
      <c r="C575" s="530">
        <v>17000</v>
      </c>
      <c r="D575" s="530" t="s">
        <v>78</v>
      </c>
      <c r="E575" s="530" t="s">
        <v>562</v>
      </c>
      <c r="F575" s="530" t="s">
        <v>78</v>
      </c>
      <c r="G575" s="530" t="s">
        <v>78</v>
      </c>
      <c r="H575" s="530" t="s">
        <v>78</v>
      </c>
      <c r="I575" s="530" t="s">
        <v>78</v>
      </c>
      <c r="J575" s="530" t="s">
        <v>78</v>
      </c>
      <c r="K575" s="530" t="s">
        <v>78</v>
      </c>
      <c r="L575" s="530" t="s">
        <v>78</v>
      </c>
      <c r="M575" s="530" t="s">
        <v>278</v>
      </c>
      <c r="N575" s="530" t="s">
        <v>78</v>
      </c>
      <c r="O575" s="530"/>
      <c r="P575" s="530" t="s">
        <v>78</v>
      </c>
      <c r="Q575" s="530" t="s">
        <v>78</v>
      </c>
      <c r="R575" s="530" t="s">
        <v>78</v>
      </c>
      <c r="S575" s="530" t="s">
        <v>78</v>
      </c>
    </row>
    <row r="576" spans="1:19" x14ac:dyDescent="0.35">
      <c r="A576" t="s">
        <v>183</v>
      </c>
      <c r="B576">
        <v>1258760</v>
      </c>
      <c r="C576">
        <v>17000</v>
      </c>
      <c r="D576" t="s">
        <v>78</v>
      </c>
      <c r="E576" t="s">
        <v>346</v>
      </c>
      <c r="F576" t="s">
        <v>78</v>
      </c>
      <c r="G576" t="s">
        <v>78</v>
      </c>
      <c r="H576" t="s">
        <v>78</v>
      </c>
      <c r="I576" t="s">
        <v>78</v>
      </c>
      <c r="J576" t="s">
        <v>78</v>
      </c>
      <c r="K576" t="s">
        <v>78</v>
      </c>
      <c r="L576" t="s">
        <v>78</v>
      </c>
      <c r="M576" t="s">
        <v>164</v>
      </c>
      <c r="N576" t="s">
        <v>78</v>
      </c>
      <c r="P576" t="s">
        <v>78</v>
      </c>
      <c r="Q576" t="s">
        <v>78</v>
      </c>
      <c r="R576" t="s">
        <v>78</v>
      </c>
      <c r="S576" t="s">
        <v>78</v>
      </c>
    </row>
    <row r="577" spans="1:19" x14ac:dyDescent="0.35">
      <c r="A577" t="s">
        <v>183</v>
      </c>
      <c r="B577">
        <v>298320</v>
      </c>
      <c r="C577">
        <v>17000</v>
      </c>
      <c r="D577" t="s">
        <v>78</v>
      </c>
      <c r="E577" t="s">
        <v>344</v>
      </c>
      <c r="F577" t="s">
        <v>78</v>
      </c>
      <c r="G577" t="s">
        <v>78</v>
      </c>
      <c r="H577" t="s">
        <v>78</v>
      </c>
      <c r="I577" t="s">
        <v>78</v>
      </c>
      <c r="J577" t="s">
        <v>78</v>
      </c>
      <c r="K577" t="s">
        <v>78</v>
      </c>
      <c r="L577" t="s">
        <v>78</v>
      </c>
      <c r="M577" t="s">
        <v>166</v>
      </c>
      <c r="N577" t="s">
        <v>78</v>
      </c>
      <c r="O577" t="s">
        <v>78</v>
      </c>
      <c r="P577" t="s">
        <v>78</v>
      </c>
      <c r="Q577" t="s">
        <v>78</v>
      </c>
      <c r="R577" t="s">
        <v>78</v>
      </c>
      <c r="S577" t="s">
        <v>78</v>
      </c>
    </row>
    <row r="578" spans="1:19" x14ac:dyDescent="0.35">
      <c r="A578" s="531" t="s">
        <v>184</v>
      </c>
      <c r="B578" s="531">
        <v>1428200</v>
      </c>
      <c r="C578" s="531">
        <v>17000</v>
      </c>
      <c r="D578" s="531" t="s">
        <v>78</v>
      </c>
      <c r="E578" s="531" t="s">
        <v>415</v>
      </c>
      <c r="F578" s="531" t="s">
        <v>78</v>
      </c>
      <c r="G578" s="531" t="s">
        <v>78</v>
      </c>
      <c r="H578" s="531" t="s">
        <v>78</v>
      </c>
      <c r="I578" s="531" t="s">
        <v>78</v>
      </c>
      <c r="J578" s="531" t="s">
        <v>78</v>
      </c>
      <c r="K578" s="531" t="s">
        <v>78</v>
      </c>
      <c r="L578" s="531" t="s">
        <v>78</v>
      </c>
      <c r="M578" s="531" t="s">
        <v>278</v>
      </c>
      <c r="N578" s="531" t="s">
        <v>78</v>
      </c>
      <c r="O578" s="531"/>
      <c r="P578" s="531" t="s">
        <v>78</v>
      </c>
      <c r="Q578" s="531" t="s">
        <v>78</v>
      </c>
      <c r="R578" s="531" t="s">
        <v>78</v>
      </c>
      <c r="S578" s="531" t="s">
        <v>78</v>
      </c>
    </row>
    <row r="579" spans="1:19" x14ac:dyDescent="0.35">
      <c r="A579" s="530" t="s">
        <v>184</v>
      </c>
      <c r="B579" s="530">
        <v>1541040</v>
      </c>
      <c r="C579" s="530">
        <v>17000</v>
      </c>
      <c r="D579" s="530" t="s">
        <v>78</v>
      </c>
      <c r="E579" s="530" t="s">
        <v>415</v>
      </c>
      <c r="F579" s="530" t="s">
        <v>78</v>
      </c>
      <c r="G579" s="530" t="s">
        <v>78</v>
      </c>
      <c r="H579" s="530" t="s">
        <v>78</v>
      </c>
      <c r="I579" s="530" t="s">
        <v>78</v>
      </c>
      <c r="J579" s="530" t="s">
        <v>78</v>
      </c>
      <c r="K579" s="530" t="s">
        <v>78</v>
      </c>
      <c r="L579" s="530" t="s">
        <v>78</v>
      </c>
      <c r="M579" s="530" t="s">
        <v>185</v>
      </c>
      <c r="N579" s="530" t="s">
        <v>78</v>
      </c>
      <c r="O579" s="530"/>
      <c r="P579" s="530" t="s">
        <v>78</v>
      </c>
      <c r="Q579" s="530" t="s">
        <v>78</v>
      </c>
      <c r="R579" s="530" t="s">
        <v>78</v>
      </c>
      <c r="S579" s="530" t="s">
        <v>78</v>
      </c>
    </row>
    <row r="580" spans="1:19" x14ac:dyDescent="0.35">
      <c r="A580" s="531" t="s">
        <v>184</v>
      </c>
      <c r="B580" s="531">
        <v>1423200</v>
      </c>
      <c r="C580" s="531">
        <v>17000</v>
      </c>
      <c r="D580" s="531" t="s">
        <v>78</v>
      </c>
      <c r="E580" s="531" t="s">
        <v>415</v>
      </c>
      <c r="F580" s="531" t="s">
        <v>78</v>
      </c>
      <c r="G580" s="531" t="s">
        <v>78</v>
      </c>
      <c r="H580" s="531" t="s">
        <v>78</v>
      </c>
      <c r="I580" s="531" t="s">
        <v>78</v>
      </c>
      <c r="J580" s="531" t="s">
        <v>78</v>
      </c>
      <c r="K580" s="531" t="s">
        <v>78</v>
      </c>
      <c r="L580" s="531" t="s">
        <v>78</v>
      </c>
      <c r="M580" s="531" t="s">
        <v>278</v>
      </c>
      <c r="N580" s="531" t="s">
        <v>78</v>
      </c>
      <c r="O580" s="531"/>
      <c r="P580" s="531" t="s">
        <v>78</v>
      </c>
      <c r="Q580" s="531" t="s">
        <v>78</v>
      </c>
      <c r="R580" s="531" t="s">
        <v>78</v>
      </c>
      <c r="S580" s="531" t="s">
        <v>78</v>
      </c>
    </row>
    <row r="581" spans="1:19" x14ac:dyDescent="0.35">
      <c r="A581" t="s">
        <v>184</v>
      </c>
      <c r="B581">
        <v>1338240</v>
      </c>
      <c r="C581">
        <v>17000</v>
      </c>
      <c r="D581" t="s">
        <v>78</v>
      </c>
      <c r="E581" t="s">
        <v>347</v>
      </c>
      <c r="F581" t="s">
        <v>78</v>
      </c>
      <c r="G581" t="s">
        <v>78</v>
      </c>
      <c r="H581" t="s">
        <v>78</v>
      </c>
      <c r="I581" t="s">
        <v>78</v>
      </c>
      <c r="J581" t="s">
        <v>78</v>
      </c>
      <c r="K581" t="s">
        <v>78</v>
      </c>
      <c r="L581" t="s">
        <v>78</v>
      </c>
      <c r="M581" t="s">
        <v>164</v>
      </c>
      <c r="N581" t="s">
        <v>78</v>
      </c>
      <c r="P581" t="s">
        <v>78</v>
      </c>
      <c r="Q581" t="s">
        <v>78</v>
      </c>
      <c r="R581" t="s">
        <v>78</v>
      </c>
      <c r="S581" t="s">
        <v>78</v>
      </c>
    </row>
    <row r="582" spans="1:19" x14ac:dyDescent="0.35">
      <c r="A582" t="s">
        <v>184</v>
      </c>
      <c r="B582">
        <v>386000</v>
      </c>
      <c r="C582">
        <v>17000</v>
      </c>
      <c r="D582" t="s">
        <v>78</v>
      </c>
      <c r="E582" t="s">
        <v>346</v>
      </c>
      <c r="F582" t="s">
        <v>78</v>
      </c>
      <c r="G582" t="s">
        <v>78</v>
      </c>
      <c r="H582" t="s">
        <v>78</v>
      </c>
      <c r="I582" t="s">
        <v>78</v>
      </c>
      <c r="J582" t="s">
        <v>78</v>
      </c>
      <c r="K582" t="s">
        <v>78</v>
      </c>
      <c r="L582" t="s">
        <v>78</v>
      </c>
      <c r="M582" t="s">
        <v>166</v>
      </c>
      <c r="N582" t="s">
        <v>78</v>
      </c>
      <c r="O582" t="s">
        <v>78</v>
      </c>
      <c r="P582" t="s">
        <v>78</v>
      </c>
      <c r="Q582" t="s">
        <v>78</v>
      </c>
      <c r="R582" t="s">
        <v>78</v>
      </c>
      <c r="S582" t="s">
        <v>78</v>
      </c>
    </row>
    <row r="583" spans="1:19" x14ac:dyDescent="0.35">
      <c r="A583" s="530" t="s">
        <v>186</v>
      </c>
      <c r="B583" s="530">
        <v>1442120</v>
      </c>
      <c r="C583" s="530">
        <v>17000</v>
      </c>
      <c r="D583" s="530" t="s">
        <v>78</v>
      </c>
      <c r="E583" s="530" t="s">
        <v>415</v>
      </c>
      <c r="F583" s="530" t="s">
        <v>78</v>
      </c>
      <c r="G583" s="530" t="s">
        <v>78</v>
      </c>
      <c r="H583" s="530" t="s">
        <v>78</v>
      </c>
      <c r="I583" s="530" t="s">
        <v>78</v>
      </c>
      <c r="J583" s="530" t="s">
        <v>78</v>
      </c>
      <c r="K583" s="530" t="s">
        <v>78</v>
      </c>
      <c r="L583" s="530" t="s">
        <v>78</v>
      </c>
      <c r="M583" s="530" t="s">
        <v>278</v>
      </c>
      <c r="N583" s="530" t="s">
        <v>78</v>
      </c>
      <c r="O583" s="530"/>
      <c r="P583" s="530" t="s">
        <v>78</v>
      </c>
      <c r="Q583" s="530" t="s">
        <v>78</v>
      </c>
      <c r="R583" s="530" t="s">
        <v>78</v>
      </c>
      <c r="S583" s="530" t="s">
        <v>78</v>
      </c>
    </row>
    <row r="584" spans="1:19" x14ac:dyDescent="0.35">
      <c r="A584" s="531" t="s">
        <v>186</v>
      </c>
      <c r="B584" s="531">
        <v>1706280</v>
      </c>
      <c r="C584" s="531">
        <v>17000</v>
      </c>
      <c r="D584" s="531" t="s">
        <v>78</v>
      </c>
      <c r="E584" s="531" t="s">
        <v>415</v>
      </c>
      <c r="F584" s="531" t="s">
        <v>78</v>
      </c>
      <c r="G584" s="531" t="s">
        <v>78</v>
      </c>
      <c r="H584" s="531" t="s">
        <v>78</v>
      </c>
      <c r="I584" s="531" t="s">
        <v>78</v>
      </c>
      <c r="J584" s="531" t="s">
        <v>78</v>
      </c>
      <c r="K584" s="531" t="s">
        <v>78</v>
      </c>
      <c r="L584" s="531" t="s">
        <v>78</v>
      </c>
      <c r="M584" s="531" t="s">
        <v>169</v>
      </c>
      <c r="N584" s="531" t="s">
        <v>78</v>
      </c>
      <c r="O584" s="531"/>
      <c r="P584" s="531" t="s">
        <v>78</v>
      </c>
      <c r="Q584" s="531" t="s">
        <v>78</v>
      </c>
      <c r="R584" s="531" t="s">
        <v>78</v>
      </c>
      <c r="S584" s="531" t="s">
        <v>78</v>
      </c>
    </row>
    <row r="585" spans="1:19" x14ac:dyDescent="0.35">
      <c r="A585" s="531" t="s">
        <v>186</v>
      </c>
      <c r="B585" s="531">
        <v>1585320</v>
      </c>
      <c r="C585" s="531">
        <v>17000</v>
      </c>
      <c r="D585" s="531" t="s">
        <v>78</v>
      </c>
      <c r="E585" s="531" t="s">
        <v>420</v>
      </c>
      <c r="F585" s="531" t="s">
        <v>78</v>
      </c>
      <c r="G585" s="531" t="s">
        <v>78</v>
      </c>
      <c r="H585" s="531" t="s">
        <v>78</v>
      </c>
      <c r="I585" s="531" t="s">
        <v>78</v>
      </c>
      <c r="J585" s="531" t="s">
        <v>78</v>
      </c>
      <c r="K585" s="531" t="s">
        <v>78</v>
      </c>
      <c r="L585" s="531" t="s">
        <v>78</v>
      </c>
      <c r="M585" s="531" t="s">
        <v>278</v>
      </c>
      <c r="N585" s="531" t="s">
        <v>78</v>
      </c>
      <c r="O585" s="531"/>
      <c r="P585" s="531" t="s">
        <v>78</v>
      </c>
      <c r="Q585" s="531" t="s">
        <v>78</v>
      </c>
      <c r="R585" s="531" t="s">
        <v>78</v>
      </c>
      <c r="S585" s="531" t="s">
        <v>78</v>
      </c>
    </row>
    <row r="586" spans="1:19" x14ac:dyDescent="0.35">
      <c r="A586" t="s">
        <v>186</v>
      </c>
      <c r="B586">
        <v>1449920</v>
      </c>
      <c r="C586">
        <v>17000</v>
      </c>
      <c r="D586" t="s">
        <v>78</v>
      </c>
      <c r="E586" t="s">
        <v>377</v>
      </c>
      <c r="F586" t="s">
        <v>78</v>
      </c>
      <c r="G586" t="s">
        <v>78</v>
      </c>
      <c r="H586" t="s">
        <v>78</v>
      </c>
      <c r="I586" t="s">
        <v>78</v>
      </c>
      <c r="J586" t="s">
        <v>78</v>
      </c>
      <c r="K586" t="s">
        <v>78</v>
      </c>
      <c r="L586" t="s">
        <v>78</v>
      </c>
      <c r="M586" t="s">
        <v>278</v>
      </c>
      <c r="N586" t="s">
        <v>78</v>
      </c>
      <c r="P586" t="s">
        <v>78</v>
      </c>
      <c r="Q586" t="s">
        <v>78</v>
      </c>
      <c r="R586" t="s">
        <v>78</v>
      </c>
      <c r="S586" t="s">
        <v>78</v>
      </c>
    </row>
    <row r="587" spans="1:19" x14ac:dyDescent="0.35">
      <c r="A587" t="s">
        <v>186</v>
      </c>
      <c r="B587">
        <v>398200</v>
      </c>
      <c r="C587">
        <v>17000</v>
      </c>
      <c r="D587" t="s">
        <v>78</v>
      </c>
      <c r="E587" t="s">
        <v>439</v>
      </c>
      <c r="F587" t="s">
        <v>78</v>
      </c>
      <c r="G587" t="s">
        <v>78</v>
      </c>
      <c r="H587" t="s">
        <v>78</v>
      </c>
      <c r="I587" t="s">
        <v>78</v>
      </c>
      <c r="J587" t="s">
        <v>78</v>
      </c>
      <c r="K587" t="s">
        <v>78</v>
      </c>
      <c r="L587" t="s">
        <v>78</v>
      </c>
      <c r="M587" t="s">
        <v>166</v>
      </c>
      <c r="N587" t="s">
        <v>78</v>
      </c>
      <c r="O587" t="s">
        <v>78</v>
      </c>
      <c r="P587" t="s">
        <v>78</v>
      </c>
      <c r="Q587" t="s">
        <v>78</v>
      </c>
      <c r="R587" t="s">
        <v>78</v>
      </c>
      <c r="S587" t="s">
        <v>78</v>
      </c>
    </row>
    <row r="588" spans="1:19" x14ac:dyDescent="0.35">
      <c r="A588" s="531" t="s">
        <v>192</v>
      </c>
      <c r="B588" s="531">
        <v>1609360</v>
      </c>
      <c r="C588" s="531">
        <v>17000</v>
      </c>
      <c r="D588" s="531" t="s">
        <v>78</v>
      </c>
      <c r="E588" s="531" t="s">
        <v>415</v>
      </c>
      <c r="F588" s="531" t="s">
        <v>78</v>
      </c>
      <c r="G588" s="531" t="s">
        <v>78</v>
      </c>
      <c r="H588" s="531" t="s">
        <v>78</v>
      </c>
      <c r="I588" s="531" t="s">
        <v>78</v>
      </c>
      <c r="J588" s="531" t="s">
        <v>78</v>
      </c>
      <c r="K588" s="531" t="s">
        <v>78</v>
      </c>
      <c r="L588" s="531" t="s">
        <v>78</v>
      </c>
      <c r="M588" s="531" t="s">
        <v>278</v>
      </c>
      <c r="N588" s="531" t="s">
        <v>78</v>
      </c>
      <c r="O588" s="531"/>
      <c r="P588" s="531" t="s">
        <v>78</v>
      </c>
      <c r="Q588" s="531" t="s">
        <v>78</v>
      </c>
      <c r="R588" s="531" t="s">
        <v>78</v>
      </c>
      <c r="S588" s="531" t="s">
        <v>78</v>
      </c>
    </row>
    <row r="589" spans="1:19" x14ac:dyDescent="0.35">
      <c r="A589" s="530" t="s">
        <v>192</v>
      </c>
      <c r="B589" s="530">
        <v>1861880</v>
      </c>
      <c r="C589" s="530">
        <v>17000</v>
      </c>
      <c r="D589" s="530" t="s">
        <v>78</v>
      </c>
      <c r="E589" s="530" t="s">
        <v>562</v>
      </c>
      <c r="F589" s="530" t="s">
        <v>78</v>
      </c>
      <c r="G589" s="530" t="s">
        <v>78</v>
      </c>
      <c r="H589" s="530" t="s">
        <v>78</v>
      </c>
      <c r="I589" s="530" t="s">
        <v>78</v>
      </c>
      <c r="J589" s="530" t="s">
        <v>78</v>
      </c>
      <c r="K589" s="530" t="s">
        <v>78</v>
      </c>
      <c r="L589" s="530" t="s">
        <v>78</v>
      </c>
      <c r="M589" s="530" t="s">
        <v>166</v>
      </c>
      <c r="N589" s="530" t="s">
        <v>78</v>
      </c>
      <c r="O589" s="530"/>
      <c r="P589" s="530" t="s">
        <v>78</v>
      </c>
      <c r="Q589" s="530" t="s">
        <v>78</v>
      </c>
      <c r="R589" s="530" t="s">
        <v>78</v>
      </c>
      <c r="S589" s="530" t="s">
        <v>78</v>
      </c>
    </row>
    <row r="590" spans="1:19" x14ac:dyDescent="0.35">
      <c r="A590" s="531" t="s">
        <v>192</v>
      </c>
      <c r="B590" s="531">
        <v>1690680</v>
      </c>
      <c r="C590" s="531">
        <v>17000</v>
      </c>
      <c r="D590" s="531" t="s">
        <v>78</v>
      </c>
      <c r="E590" s="531" t="s">
        <v>415</v>
      </c>
      <c r="F590" s="531" t="s">
        <v>78</v>
      </c>
      <c r="G590" s="531" t="s">
        <v>78</v>
      </c>
      <c r="H590" s="531" t="s">
        <v>78</v>
      </c>
      <c r="I590" s="531" t="s">
        <v>78</v>
      </c>
      <c r="J590" s="531" t="s">
        <v>78</v>
      </c>
      <c r="K590" s="531" t="s">
        <v>78</v>
      </c>
      <c r="L590" s="531" t="s">
        <v>78</v>
      </c>
      <c r="M590" s="531" t="s">
        <v>279</v>
      </c>
      <c r="N590" s="531" t="s">
        <v>78</v>
      </c>
      <c r="O590" s="531"/>
      <c r="P590" s="531" t="s">
        <v>78</v>
      </c>
      <c r="Q590" s="531" t="s">
        <v>78</v>
      </c>
      <c r="R590" s="531" t="s">
        <v>78</v>
      </c>
      <c r="S590" s="531" t="s">
        <v>78</v>
      </c>
    </row>
    <row r="591" spans="1:19" x14ac:dyDescent="0.35">
      <c r="A591" t="s">
        <v>192</v>
      </c>
      <c r="B591">
        <v>1503720</v>
      </c>
      <c r="C591">
        <v>17000</v>
      </c>
      <c r="D591" t="s">
        <v>78</v>
      </c>
      <c r="E591" t="s">
        <v>377</v>
      </c>
      <c r="F591" t="s">
        <v>78</v>
      </c>
      <c r="G591" t="s">
        <v>78</v>
      </c>
      <c r="H591" t="s">
        <v>78</v>
      </c>
      <c r="I591" t="s">
        <v>78</v>
      </c>
      <c r="J591" t="s">
        <v>78</v>
      </c>
      <c r="K591" t="s">
        <v>78</v>
      </c>
      <c r="L591" t="s">
        <v>78</v>
      </c>
      <c r="M591" t="s">
        <v>278</v>
      </c>
      <c r="N591" t="s">
        <v>78</v>
      </c>
      <c r="P591" t="s">
        <v>78</v>
      </c>
      <c r="Q591" t="s">
        <v>78</v>
      </c>
      <c r="R591" t="s">
        <v>78</v>
      </c>
      <c r="S591" t="s">
        <v>78</v>
      </c>
    </row>
    <row r="592" spans="1:19" x14ac:dyDescent="0.35">
      <c r="A592" t="s">
        <v>192</v>
      </c>
      <c r="B592">
        <v>158480</v>
      </c>
      <c r="C592">
        <v>17000</v>
      </c>
      <c r="D592" t="s">
        <v>78</v>
      </c>
      <c r="E592" t="s">
        <v>377</v>
      </c>
      <c r="F592" t="s">
        <v>78</v>
      </c>
      <c r="G592" t="s">
        <v>78</v>
      </c>
      <c r="H592" t="s">
        <v>78</v>
      </c>
      <c r="I592" t="s">
        <v>78</v>
      </c>
      <c r="J592" t="s">
        <v>78</v>
      </c>
      <c r="K592" t="s">
        <v>78</v>
      </c>
      <c r="L592" t="s">
        <v>78</v>
      </c>
      <c r="M592" t="s">
        <v>164</v>
      </c>
      <c r="N592" t="s">
        <v>78</v>
      </c>
      <c r="O592" t="s">
        <v>78</v>
      </c>
      <c r="P592" t="s">
        <v>78</v>
      </c>
      <c r="Q592" t="s">
        <v>78</v>
      </c>
      <c r="R592" t="s">
        <v>78</v>
      </c>
      <c r="S592" t="s">
        <v>78</v>
      </c>
    </row>
    <row r="593" spans="1:19" x14ac:dyDescent="0.35">
      <c r="A593" s="530" t="s">
        <v>194</v>
      </c>
      <c r="B593" s="530">
        <v>1683120</v>
      </c>
      <c r="C593" s="530">
        <v>17000</v>
      </c>
      <c r="D593" s="530" t="s">
        <v>78</v>
      </c>
      <c r="E593" s="530" t="s">
        <v>422</v>
      </c>
      <c r="F593" s="530" t="s">
        <v>78</v>
      </c>
      <c r="G593" s="530" t="s">
        <v>78</v>
      </c>
      <c r="H593" s="530" t="s">
        <v>78</v>
      </c>
      <c r="I593" s="530" t="s">
        <v>78</v>
      </c>
      <c r="J593" s="530" t="s">
        <v>78</v>
      </c>
      <c r="K593" s="530" t="s">
        <v>78</v>
      </c>
      <c r="L593" s="530" t="s">
        <v>78</v>
      </c>
      <c r="M593" s="530" t="s">
        <v>209</v>
      </c>
      <c r="N593" s="530" t="s">
        <v>78</v>
      </c>
      <c r="O593" s="530"/>
      <c r="P593" s="530" t="s">
        <v>78</v>
      </c>
      <c r="Q593" s="530" t="s">
        <v>78</v>
      </c>
      <c r="R593" s="530" t="s">
        <v>78</v>
      </c>
      <c r="S593" s="530" t="s">
        <v>78</v>
      </c>
    </row>
    <row r="594" spans="1:19" x14ac:dyDescent="0.35">
      <c r="A594" s="531" t="s">
        <v>194</v>
      </c>
      <c r="B594" s="531">
        <v>1861880</v>
      </c>
      <c r="C594" s="531">
        <v>17000</v>
      </c>
      <c r="D594" s="531" t="s">
        <v>78</v>
      </c>
      <c r="E594" s="531" t="s">
        <v>415</v>
      </c>
      <c r="F594" s="531" t="s">
        <v>78</v>
      </c>
      <c r="G594" s="531" t="s">
        <v>78</v>
      </c>
      <c r="H594" s="531" t="s">
        <v>78</v>
      </c>
      <c r="I594" s="531" t="s">
        <v>78</v>
      </c>
      <c r="J594" s="531" t="s">
        <v>78</v>
      </c>
      <c r="K594" s="531" t="s">
        <v>78</v>
      </c>
      <c r="L594" s="531" t="s">
        <v>78</v>
      </c>
      <c r="M594" s="531" t="s">
        <v>169</v>
      </c>
      <c r="N594" s="531" t="s">
        <v>78</v>
      </c>
      <c r="O594" s="531"/>
      <c r="P594" s="531" t="s">
        <v>78</v>
      </c>
      <c r="Q594" s="531" t="s">
        <v>78</v>
      </c>
      <c r="R594" s="531" t="s">
        <v>78</v>
      </c>
      <c r="S594" s="531" t="s">
        <v>78</v>
      </c>
    </row>
    <row r="595" spans="1:19" x14ac:dyDescent="0.35">
      <c r="A595" s="530" t="s">
        <v>194</v>
      </c>
      <c r="B595" s="530">
        <v>1690680</v>
      </c>
      <c r="C595" s="530">
        <v>17000</v>
      </c>
      <c r="D595" s="530" t="s">
        <v>78</v>
      </c>
      <c r="E595" s="530" t="s">
        <v>344</v>
      </c>
      <c r="F595" s="530" t="s">
        <v>78</v>
      </c>
      <c r="G595" s="530" t="s">
        <v>78</v>
      </c>
      <c r="H595" s="530" t="s">
        <v>78</v>
      </c>
      <c r="I595" s="530" t="s">
        <v>78</v>
      </c>
      <c r="J595" s="530" t="s">
        <v>78</v>
      </c>
      <c r="K595" s="530" t="s">
        <v>78</v>
      </c>
      <c r="L595" s="530" t="s">
        <v>78</v>
      </c>
      <c r="M595" s="530" t="s">
        <v>279</v>
      </c>
      <c r="N595" s="530" t="s">
        <v>78</v>
      </c>
      <c r="O595" s="530"/>
      <c r="P595" s="530" t="s">
        <v>78</v>
      </c>
      <c r="Q595" s="530" t="s">
        <v>78</v>
      </c>
      <c r="R595" s="530" t="s">
        <v>78</v>
      </c>
      <c r="S595" s="530" t="s">
        <v>78</v>
      </c>
    </row>
    <row r="596" spans="1:19" x14ac:dyDescent="0.35">
      <c r="A596" t="s">
        <v>194</v>
      </c>
      <c r="B596">
        <v>1679400</v>
      </c>
      <c r="C596">
        <v>17000</v>
      </c>
      <c r="D596" t="s">
        <v>78</v>
      </c>
      <c r="E596" t="s">
        <v>377</v>
      </c>
      <c r="F596" t="s">
        <v>78</v>
      </c>
      <c r="G596" t="s">
        <v>78</v>
      </c>
      <c r="H596" t="s">
        <v>78</v>
      </c>
      <c r="I596" t="s">
        <v>78</v>
      </c>
      <c r="J596" t="s">
        <v>78</v>
      </c>
      <c r="K596" t="s">
        <v>78</v>
      </c>
      <c r="L596" t="s">
        <v>78</v>
      </c>
      <c r="M596" t="s">
        <v>166</v>
      </c>
      <c r="N596" t="s">
        <v>78</v>
      </c>
      <c r="P596" t="s">
        <v>78</v>
      </c>
      <c r="Q596" t="s">
        <v>78</v>
      </c>
      <c r="R596" t="s">
        <v>78</v>
      </c>
      <c r="S596" t="s">
        <v>78</v>
      </c>
    </row>
    <row r="597" spans="1:19" x14ac:dyDescent="0.35">
      <c r="A597" t="s">
        <v>194</v>
      </c>
      <c r="B597">
        <v>158480</v>
      </c>
      <c r="C597">
        <v>17000</v>
      </c>
      <c r="D597" t="s">
        <v>78</v>
      </c>
      <c r="E597" t="s">
        <v>346</v>
      </c>
      <c r="F597" t="s">
        <v>78</v>
      </c>
      <c r="G597" t="s">
        <v>78</v>
      </c>
      <c r="H597" t="s">
        <v>78</v>
      </c>
      <c r="I597" t="s">
        <v>78</v>
      </c>
      <c r="J597" t="s">
        <v>78</v>
      </c>
      <c r="K597" t="s">
        <v>78</v>
      </c>
      <c r="L597" t="s">
        <v>78</v>
      </c>
      <c r="M597" t="s">
        <v>164</v>
      </c>
      <c r="N597" t="s">
        <v>78</v>
      </c>
      <c r="O597" t="s">
        <v>78</v>
      </c>
      <c r="P597" t="s">
        <v>78</v>
      </c>
      <c r="Q597" t="s">
        <v>78</v>
      </c>
      <c r="R597" t="s">
        <v>78</v>
      </c>
      <c r="S597" t="s">
        <v>78</v>
      </c>
    </row>
    <row r="598" spans="1:19" x14ac:dyDescent="0.35">
      <c r="A598" s="531" t="s">
        <v>195</v>
      </c>
      <c r="B598" s="531">
        <v>532000</v>
      </c>
      <c r="C598" s="531">
        <v>17000</v>
      </c>
      <c r="D598" s="531" t="s">
        <v>78</v>
      </c>
      <c r="E598" s="531" t="s">
        <v>377</v>
      </c>
      <c r="F598" s="531" t="s">
        <v>78</v>
      </c>
      <c r="G598" s="531" t="s">
        <v>78</v>
      </c>
      <c r="H598" s="531" t="s">
        <v>78</v>
      </c>
      <c r="I598" s="531" t="s">
        <v>78</v>
      </c>
      <c r="J598" s="531" t="s">
        <v>78</v>
      </c>
      <c r="K598" s="531" t="s">
        <v>78</v>
      </c>
      <c r="L598" s="531" t="s">
        <v>78</v>
      </c>
      <c r="M598" s="531" t="s">
        <v>164</v>
      </c>
      <c r="N598" s="531" t="s">
        <v>78</v>
      </c>
      <c r="O598" s="531"/>
      <c r="P598" s="531" t="s">
        <v>78</v>
      </c>
      <c r="Q598" s="531" t="s">
        <v>78</v>
      </c>
      <c r="R598" s="531" t="s">
        <v>78</v>
      </c>
      <c r="S598" s="531" t="s">
        <v>78</v>
      </c>
    </row>
    <row r="599" spans="1:19" x14ac:dyDescent="0.35">
      <c r="A599" s="530" t="s">
        <v>195</v>
      </c>
      <c r="B599" s="530">
        <v>1698800</v>
      </c>
      <c r="C599" s="530">
        <v>17000</v>
      </c>
      <c r="D599" s="530" t="s">
        <v>78</v>
      </c>
      <c r="E599" s="530" t="s">
        <v>415</v>
      </c>
      <c r="F599" s="530" t="s">
        <v>78</v>
      </c>
      <c r="G599" s="530" t="s">
        <v>78</v>
      </c>
      <c r="H599" s="530" t="s">
        <v>78</v>
      </c>
      <c r="I599" s="530" t="s">
        <v>78</v>
      </c>
      <c r="J599" s="530" t="s">
        <v>78</v>
      </c>
      <c r="K599" s="530" t="s">
        <v>78</v>
      </c>
      <c r="L599" s="530" t="s">
        <v>78</v>
      </c>
      <c r="M599" s="530" t="s">
        <v>160</v>
      </c>
      <c r="N599" s="530" t="s">
        <v>78</v>
      </c>
      <c r="O599" s="530"/>
      <c r="P599" s="530" t="s">
        <v>78</v>
      </c>
      <c r="Q599" s="530" t="s">
        <v>78</v>
      </c>
      <c r="R599" s="530" t="s">
        <v>78</v>
      </c>
      <c r="S599" s="530" t="s">
        <v>78</v>
      </c>
    </row>
    <row r="600" spans="1:19" x14ac:dyDescent="0.35">
      <c r="A600" t="s">
        <v>195</v>
      </c>
      <c r="B600">
        <v>179040</v>
      </c>
      <c r="C600">
        <v>17000</v>
      </c>
      <c r="D600" t="s">
        <v>78</v>
      </c>
      <c r="E600" t="s">
        <v>439</v>
      </c>
      <c r="F600" t="s">
        <v>78</v>
      </c>
      <c r="G600" t="s">
        <v>78</v>
      </c>
      <c r="H600" t="s">
        <v>78</v>
      </c>
      <c r="I600" t="s">
        <v>78</v>
      </c>
      <c r="J600" t="s">
        <v>78</v>
      </c>
      <c r="K600" t="s">
        <v>78</v>
      </c>
      <c r="L600" t="s">
        <v>78</v>
      </c>
      <c r="M600" t="s">
        <v>166</v>
      </c>
      <c r="N600" t="s">
        <v>78</v>
      </c>
      <c r="P600" t="s">
        <v>78</v>
      </c>
      <c r="Q600" t="s">
        <v>78</v>
      </c>
      <c r="R600" t="s">
        <v>78</v>
      </c>
      <c r="S600" t="s">
        <v>78</v>
      </c>
    </row>
    <row r="601" spans="1:19" x14ac:dyDescent="0.35">
      <c r="A601" t="s">
        <v>195</v>
      </c>
      <c r="B601">
        <v>158480</v>
      </c>
      <c r="C601">
        <v>17000</v>
      </c>
      <c r="D601" t="s">
        <v>78</v>
      </c>
      <c r="E601" t="s">
        <v>415</v>
      </c>
      <c r="F601" t="s">
        <v>78</v>
      </c>
      <c r="G601" t="s">
        <v>78</v>
      </c>
      <c r="H601" t="s">
        <v>78</v>
      </c>
      <c r="I601" t="s">
        <v>78</v>
      </c>
      <c r="J601" t="s">
        <v>78</v>
      </c>
      <c r="K601" t="s">
        <v>78</v>
      </c>
      <c r="L601" t="s">
        <v>78</v>
      </c>
      <c r="M601" t="s">
        <v>278</v>
      </c>
      <c r="N601" t="s">
        <v>78</v>
      </c>
      <c r="O601" t="s">
        <v>78</v>
      </c>
      <c r="P601" t="s">
        <v>78</v>
      </c>
      <c r="Q601" t="s">
        <v>78</v>
      </c>
      <c r="R601" t="s">
        <v>78</v>
      </c>
      <c r="S601" t="s">
        <v>78</v>
      </c>
    </row>
    <row r="602" spans="1:19" x14ac:dyDescent="0.35">
      <c r="A602" s="530" t="s">
        <v>197</v>
      </c>
      <c r="B602" s="530">
        <v>617560</v>
      </c>
      <c r="C602" s="530">
        <v>17000</v>
      </c>
      <c r="D602" s="530" t="s">
        <v>78</v>
      </c>
      <c r="E602" s="530" t="s">
        <v>377</v>
      </c>
      <c r="F602" s="530" t="s">
        <v>78</v>
      </c>
      <c r="G602" s="530" t="s">
        <v>78</v>
      </c>
      <c r="H602" s="530" t="s">
        <v>78</v>
      </c>
      <c r="I602" s="530" t="s">
        <v>78</v>
      </c>
      <c r="J602" s="530" t="s">
        <v>78</v>
      </c>
      <c r="K602" s="530" t="s">
        <v>78</v>
      </c>
      <c r="L602" s="530" t="s">
        <v>78</v>
      </c>
      <c r="M602" s="530" t="s">
        <v>164</v>
      </c>
      <c r="N602" s="530" t="s">
        <v>78</v>
      </c>
      <c r="O602" s="530"/>
      <c r="P602" s="530" t="s">
        <v>78</v>
      </c>
      <c r="Q602" s="530" t="s">
        <v>78</v>
      </c>
      <c r="R602" s="530" t="s">
        <v>78</v>
      </c>
      <c r="S602" s="530" t="s">
        <v>78</v>
      </c>
    </row>
    <row r="603" spans="1:19" x14ac:dyDescent="0.35">
      <c r="A603" s="530" t="s">
        <v>197</v>
      </c>
      <c r="B603" s="530">
        <v>1946240</v>
      </c>
      <c r="C603" s="530">
        <v>17000</v>
      </c>
      <c r="D603" s="530" t="s">
        <v>78</v>
      </c>
      <c r="E603" s="530" t="s">
        <v>415</v>
      </c>
      <c r="F603" s="530" t="s">
        <v>78</v>
      </c>
      <c r="G603" s="530" t="s">
        <v>78</v>
      </c>
      <c r="H603" s="530" t="s">
        <v>78</v>
      </c>
      <c r="I603" s="530" t="s">
        <v>78</v>
      </c>
      <c r="J603" s="530" t="s">
        <v>78</v>
      </c>
      <c r="K603" s="530" t="s">
        <v>78</v>
      </c>
      <c r="L603" s="530" t="s">
        <v>78</v>
      </c>
      <c r="M603" s="530" t="s">
        <v>160</v>
      </c>
      <c r="N603" s="530" t="s">
        <v>78</v>
      </c>
      <c r="O603" s="530"/>
      <c r="P603" s="530" t="s">
        <v>78</v>
      </c>
      <c r="Q603" s="530" t="s">
        <v>78</v>
      </c>
      <c r="R603" s="530" t="s">
        <v>78</v>
      </c>
      <c r="S603" s="530" t="s">
        <v>78</v>
      </c>
    </row>
    <row r="604" spans="1:19" x14ac:dyDescent="0.35">
      <c r="A604" t="s">
        <v>197</v>
      </c>
      <c r="B604">
        <v>422280</v>
      </c>
      <c r="C604">
        <v>17000</v>
      </c>
      <c r="D604" t="s">
        <v>78</v>
      </c>
      <c r="E604" t="s">
        <v>377</v>
      </c>
      <c r="F604" t="s">
        <v>78</v>
      </c>
      <c r="G604" t="s">
        <v>78</v>
      </c>
      <c r="H604" t="s">
        <v>78</v>
      </c>
      <c r="I604" t="s">
        <v>78</v>
      </c>
      <c r="J604" t="s">
        <v>78</v>
      </c>
      <c r="K604" t="s">
        <v>78</v>
      </c>
      <c r="L604" t="s">
        <v>78</v>
      </c>
      <c r="M604" t="s">
        <v>166</v>
      </c>
      <c r="N604" t="s">
        <v>78</v>
      </c>
      <c r="P604" t="s">
        <v>78</v>
      </c>
      <c r="Q604" t="s">
        <v>78</v>
      </c>
      <c r="R604" t="s">
        <v>78</v>
      </c>
      <c r="S604" t="s">
        <v>78</v>
      </c>
    </row>
    <row r="605" spans="1:19" x14ac:dyDescent="0.35">
      <c r="A605" t="s">
        <v>197</v>
      </c>
      <c r="B605">
        <v>326520</v>
      </c>
      <c r="C605">
        <v>17000</v>
      </c>
      <c r="D605" t="s">
        <v>78</v>
      </c>
      <c r="E605" t="s">
        <v>346</v>
      </c>
      <c r="F605" t="s">
        <v>78</v>
      </c>
      <c r="G605" t="s">
        <v>78</v>
      </c>
      <c r="H605" t="s">
        <v>78</v>
      </c>
      <c r="I605" t="s">
        <v>78</v>
      </c>
      <c r="J605" t="s">
        <v>78</v>
      </c>
      <c r="K605" t="s">
        <v>78</v>
      </c>
      <c r="L605" t="s">
        <v>78</v>
      </c>
      <c r="M605" t="s">
        <v>169</v>
      </c>
      <c r="N605" t="s">
        <v>78</v>
      </c>
      <c r="O605" t="s">
        <v>78</v>
      </c>
      <c r="P605" t="s">
        <v>78</v>
      </c>
      <c r="Q605" t="s">
        <v>78</v>
      </c>
      <c r="R605" t="s">
        <v>78</v>
      </c>
      <c r="S605" t="s">
        <v>78</v>
      </c>
    </row>
    <row r="606" spans="1:19" x14ac:dyDescent="0.35">
      <c r="A606" s="531" t="s">
        <v>198</v>
      </c>
      <c r="B606" s="531">
        <v>617560</v>
      </c>
      <c r="C606" s="531">
        <v>17000</v>
      </c>
      <c r="D606" s="531" t="s">
        <v>78</v>
      </c>
      <c r="E606" s="531" t="s">
        <v>376</v>
      </c>
      <c r="F606" s="531" t="s">
        <v>78</v>
      </c>
      <c r="G606" s="531" t="s">
        <v>78</v>
      </c>
      <c r="H606" s="531" t="s">
        <v>78</v>
      </c>
      <c r="I606" s="531" t="s">
        <v>78</v>
      </c>
      <c r="J606" s="531" t="s">
        <v>78</v>
      </c>
      <c r="K606" s="531" t="s">
        <v>78</v>
      </c>
      <c r="L606" s="531" t="s">
        <v>78</v>
      </c>
      <c r="M606" s="531" t="s">
        <v>209</v>
      </c>
      <c r="N606" s="531" t="s">
        <v>78</v>
      </c>
      <c r="O606" s="531"/>
      <c r="P606" s="531" t="s">
        <v>78</v>
      </c>
      <c r="Q606" s="531" t="s">
        <v>78</v>
      </c>
      <c r="R606" s="531" t="s">
        <v>78</v>
      </c>
      <c r="S606" s="531" t="s">
        <v>78</v>
      </c>
    </row>
    <row r="607" spans="1:19" x14ac:dyDescent="0.35">
      <c r="A607" s="530" t="s">
        <v>198</v>
      </c>
      <c r="B607" s="530">
        <v>1979720</v>
      </c>
      <c r="C607" s="530">
        <v>17000</v>
      </c>
      <c r="D607" s="530" t="s">
        <v>78</v>
      </c>
      <c r="E607" s="530" t="s">
        <v>376</v>
      </c>
      <c r="F607" s="530" t="s">
        <v>78</v>
      </c>
      <c r="G607" s="530" t="s">
        <v>78</v>
      </c>
      <c r="H607" s="530" t="s">
        <v>78</v>
      </c>
      <c r="I607" s="530" t="s">
        <v>78</v>
      </c>
      <c r="J607" s="530" t="s">
        <v>78</v>
      </c>
      <c r="K607" s="530" t="s">
        <v>78</v>
      </c>
      <c r="L607" s="530" t="s">
        <v>78</v>
      </c>
      <c r="M607" s="530" t="s">
        <v>160</v>
      </c>
      <c r="N607" s="530" t="s">
        <v>78</v>
      </c>
      <c r="O607" s="530"/>
      <c r="P607" s="530" t="s">
        <v>78</v>
      </c>
      <c r="Q607" s="530" t="s">
        <v>78</v>
      </c>
      <c r="R607" s="530" t="s">
        <v>78</v>
      </c>
      <c r="S607" s="530" t="s">
        <v>78</v>
      </c>
    </row>
    <row r="608" spans="1:19" x14ac:dyDescent="0.35">
      <c r="A608" t="s">
        <v>198</v>
      </c>
      <c r="B608">
        <v>457280</v>
      </c>
      <c r="C608">
        <v>17000</v>
      </c>
      <c r="D608" t="s">
        <v>78</v>
      </c>
      <c r="E608" t="s">
        <v>421</v>
      </c>
      <c r="F608" t="s">
        <v>78</v>
      </c>
      <c r="G608" t="s">
        <v>78</v>
      </c>
      <c r="H608" t="s">
        <v>78</v>
      </c>
      <c r="I608" t="s">
        <v>78</v>
      </c>
      <c r="J608" t="s">
        <v>78</v>
      </c>
      <c r="K608" t="s">
        <v>78</v>
      </c>
      <c r="L608" t="s">
        <v>78</v>
      </c>
      <c r="M608" t="s">
        <v>166</v>
      </c>
      <c r="N608" t="s">
        <v>78</v>
      </c>
      <c r="P608" t="s">
        <v>78</v>
      </c>
      <c r="Q608" t="s">
        <v>78</v>
      </c>
      <c r="R608" t="s">
        <v>78</v>
      </c>
      <c r="S608" t="s">
        <v>78</v>
      </c>
    </row>
    <row r="609" spans="1:19" x14ac:dyDescent="0.35">
      <c r="A609" t="s">
        <v>198</v>
      </c>
      <c r="B609">
        <v>353400</v>
      </c>
      <c r="C609">
        <v>17000</v>
      </c>
      <c r="D609" t="s">
        <v>78</v>
      </c>
      <c r="E609" t="s">
        <v>377</v>
      </c>
      <c r="F609" t="s">
        <v>78</v>
      </c>
      <c r="G609" t="s">
        <v>78</v>
      </c>
      <c r="H609" t="s">
        <v>78</v>
      </c>
      <c r="I609" t="s">
        <v>78</v>
      </c>
      <c r="J609" t="s">
        <v>78</v>
      </c>
      <c r="K609" t="s">
        <v>78</v>
      </c>
      <c r="L609" t="s">
        <v>78</v>
      </c>
      <c r="M609" t="s">
        <v>185</v>
      </c>
      <c r="N609" t="s">
        <v>78</v>
      </c>
      <c r="O609" t="s">
        <v>78</v>
      </c>
      <c r="P609" t="s">
        <v>78</v>
      </c>
      <c r="Q609" t="s">
        <v>78</v>
      </c>
      <c r="R609" t="s">
        <v>78</v>
      </c>
      <c r="S609" t="s">
        <v>78</v>
      </c>
    </row>
    <row r="610" spans="1:19" x14ac:dyDescent="0.35">
      <c r="A610" s="530" t="s">
        <v>199</v>
      </c>
      <c r="B610" s="530">
        <v>195400</v>
      </c>
      <c r="C610" s="530">
        <v>17000</v>
      </c>
      <c r="D610" s="530" t="s">
        <v>78</v>
      </c>
      <c r="E610" s="530" t="s">
        <v>347</v>
      </c>
      <c r="F610" s="530" t="s">
        <v>78</v>
      </c>
      <c r="G610" s="530" t="s">
        <v>78</v>
      </c>
      <c r="H610" s="530" t="s">
        <v>78</v>
      </c>
      <c r="I610" s="530" t="s">
        <v>78</v>
      </c>
      <c r="J610" s="530" t="s">
        <v>78</v>
      </c>
      <c r="K610" s="530" t="s">
        <v>78</v>
      </c>
      <c r="L610" s="530" t="s">
        <v>78</v>
      </c>
      <c r="M610" s="530" t="s">
        <v>209</v>
      </c>
      <c r="N610" s="530" t="s">
        <v>78</v>
      </c>
      <c r="O610" s="530"/>
      <c r="P610" s="530" t="s">
        <v>78</v>
      </c>
      <c r="Q610" s="530" t="s">
        <v>78</v>
      </c>
      <c r="R610" s="530" t="s">
        <v>78</v>
      </c>
      <c r="S610" s="530" t="s">
        <v>78</v>
      </c>
    </row>
    <row r="611" spans="1:19" x14ac:dyDescent="0.35">
      <c r="A611" s="531" t="s">
        <v>199</v>
      </c>
      <c r="B611" s="531">
        <v>2059200</v>
      </c>
      <c r="C611" s="531">
        <v>17000</v>
      </c>
      <c r="D611" s="531" t="s">
        <v>78</v>
      </c>
      <c r="E611" s="531" t="s">
        <v>415</v>
      </c>
      <c r="F611" s="531" t="s">
        <v>78</v>
      </c>
      <c r="G611" s="531" t="s">
        <v>78</v>
      </c>
      <c r="H611" s="531" t="s">
        <v>78</v>
      </c>
      <c r="I611" s="531" t="s">
        <v>78</v>
      </c>
      <c r="J611" s="531" t="s">
        <v>78</v>
      </c>
      <c r="K611" s="531" t="s">
        <v>78</v>
      </c>
      <c r="L611" s="531" t="s">
        <v>78</v>
      </c>
      <c r="M611" s="531" t="s">
        <v>185</v>
      </c>
      <c r="N611" s="531" t="s">
        <v>78</v>
      </c>
      <c r="O611" s="531"/>
      <c r="P611" s="531" t="s">
        <v>78</v>
      </c>
      <c r="Q611" s="531" t="s">
        <v>78</v>
      </c>
      <c r="R611" s="531" t="s">
        <v>78</v>
      </c>
      <c r="S611" s="531" t="s">
        <v>78</v>
      </c>
    </row>
    <row r="612" spans="1:19" x14ac:dyDescent="0.35">
      <c r="A612" t="s">
        <v>199</v>
      </c>
      <c r="B612">
        <v>457280</v>
      </c>
      <c r="C612">
        <v>17000</v>
      </c>
      <c r="D612" t="s">
        <v>78</v>
      </c>
      <c r="E612" t="s">
        <v>562</v>
      </c>
      <c r="F612" t="s">
        <v>78</v>
      </c>
      <c r="G612" t="s">
        <v>78</v>
      </c>
      <c r="H612" t="s">
        <v>78</v>
      </c>
      <c r="I612" t="s">
        <v>78</v>
      </c>
      <c r="J612" t="s">
        <v>78</v>
      </c>
      <c r="K612" t="s">
        <v>78</v>
      </c>
      <c r="L612" t="s">
        <v>78</v>
      </c>
      <c r="M612" t="s">
        <v>278</v>
      </c>
      <c r="N612" t="s">
        <v>78</v>
      </c>
      <c r="P612" t="s">
        <v>78</v>
      </c>
      <c r="Q612" t="s">
        <v>78</v>
      </c>
      <c r="R612" t="s">
        <v>78</v>
      </c>
      <c r="S612" t="s">
        <v>78</v>
      </c>
    </row>
    <row r="613" spans="1:19" x14ac:dyDescent="0.35">
      <c r="A613" t="s">
        <v>199</v>
      </c>
      <c r="B613">
        <v>425520</v>
      </c>
      <c r="C613">
        <v>17000</v>
      </c>
      <c r="D613" t="s">
        <v>78</v>
      </c>
      <c r="E613" t="s">
        <v>415</v>
      </c>
      <c r="F613" t="s">
        <v>78</v>
      </c>
      <c r="G613" t="s">
        <v>78</v>
      </c>
      <c r="H613" t="s">
        <v>78</v>
      </c>
      <c r="I613" t="s">
        <v>78</v>
      </c>
      <c r="J613" t="s">
        <v>78</v>
      </c>
      <c r="K613" t="s">
        <v>78</v>
      </c>
      <c r="L613" t="s">
        <v>78</v>
      </c>
      <c r="M613" t="s">
        <v>193</v>
      </c>
      <c r="N613" t="s">
        <v>78</v>
      </c>
      <c r="O613" t="s">
        <v>78</v>
      </c>
      <c r="P613" t="s">
        <v>78</v>
      </c>
      <c r="Q613" t="s">
        <v>78</v>
      </c>
      <c r="R613" t="s">
        <v>78</v>
      </c>
      <c r="S613" t="s">
        <v>78</v>
      </c>
    </row>
    <row r="614" spans="1:19" x14ac:dyDescent="0.35">
      <c r="A614" s="531" t="s">
        <v>200</v>
      </c>
      <c r="B614" s="531">
        <v>195400</v>
      </c>
      <c r="C614" s="531">
        <v>17000</v>
      </c>
      <c r="D614" s="531" t="s">
        <v>78</v>
      </c>
      <c r="E614" s="531" t="s">
        <v>344</v>
      </c>
      <c r="F614" s="531" t="s">
        <v>78</v>
      </c>
      <c r="G614" s="531" t="s">
        <v>78</v>
      </c>
      <c r="H614" s="531" t="s">
        <v>78</v>
      </c>
      <c r="I614" s="531" t="s">
        <v>78</v>
      </c>
      <c r="J614" s="531" t="s">
        <v>78</v>
      </c>
      <c r="K614" s="531" t="s">
        <v>78</v>
      </c>
      <c r="L614" s="531" t="s">
        <v>78</v>
      </c>
      <c r="M614" s="531" t="s">
        <v>185</v>
      </c>
      <c r="N614" s="531" t="s">
        <v>78</v>
      </c>
      <c r="O614" s="531"/>
      <c r="P614" s="531" t="s">
        <v>78</v>
      </c>
      <c r="Q614" s="531" t="s">
        <v>78</v>
      </c>
      <c r="R614" s="531" t="s">
        <v>78</v>
      </c>
      <c r="S614" s="531" t="s">
        <v>78</v>
      </c>
    </row>
    <row r="615" spans="1:19" x14ac:dyDescent="0.35">
      <c r="A615" s="530" t="s">
        <v>200</v>
      </c>
      <c r="B615" s="530">
        <v>37200</v>
      </c>
      <c r="C615" s="530">
        <v>17000</v>
      </c>
      <c r="D615" s="530" t="s">
        <v>78</v>
      </c>
      <c r="E615" s="530" t="s">
        <v>421</v>
      </c>
      <c r="F615" s="530" t="s">
        <v>78</v>
      </c>
      <c r="G615" s="530" t="s">
        <v>78</v>
      </c>
      <c r="H615" s="530" t="s">
        <v>78</v>
      </c>
      <c r="I615" s="530" t="s">
        <v>78</v>
      </c>
      <c r="J615" s="530" t="s">
        <v>78</v>
      </c>
      <c r="K615" s="530" t="s">
        <v>78</v>
      </c>
      <c r="L615" s="530" t="s">
        <v>78</v>
      </c>
      <c r="M615" s="530" t="s">
        <v>164</v>
      </c>
      <c r="N615" s="530" t="s">
        <v>78</v>
      </c>
      <c r="O615" s="530"/>
      <c r="P615" s="530" t="s">
        <v>78</v>
      </c>
      <c r="Q615" s="530" t="s">
        <v>78</v>
      </c>
      <c r="R615" s="530" t="s">
        <v>78</v>
      </c>
      <c r="S615" s="530" t="s">
        <v>78</v>
      </c>
    </row>
    <row r="616" spans="1:19" x14ac:dyDescent="0.35">
      <c r="A616" t="s">
        <v>200</v>
      </c>
      <c r="B616">
        <v>674520</v>
      </c>
      <c r="C616">
        <v>17000</v>
      </c>
      <c r="D616" t="s">
        <v>78</v>
      </c>
      <c r="E616" t="s">
        <v>439</v>
      </c>
      <c r="F616" t="s">
        <v>78</v>
      </c>
      <c r="G616" t="s">
        <v>78</v>
      </c>
      <c r="H616" t="s">
        <v>78</v>
      </c>
      <c r="I616" t="s">
        <v>78</v>
      </c>
      <c r="J616" t="s">
        <v>78</v>
      </c>
      <c r="K616" t="s">
        <v>78</v>
      </c>
      <c r="L616" t="s">
        <v>78</v>
      </c>
      <c r="M616" t="s">
        <v>169</v>
      </c>
      <c r="N616" t="s">
        <v>78</v>
      </c>
      <c r="P616" t="s">
        <v>78</v>
      </c>
      <c r="Q616" t="s">
        <v>78</v>
      </c>
      <c r="R616" t="s">
        <v>78</v>
      </c>
      <c r="S616" t="s">
        <v>78</v>
      </c>
    </row>
    <row r="617" spans="1:19" x14ac:dyDescent="0.35">
      <c r="A617" t="s">
        <v>200</v>
      </c>
      <c r="B617">
        <v>483880</v>
      </c>
      <c r="C617">
        <v>17000</v>
      </c>
      <c r="D617" t="s">
        <v>78</v>
      </c>
      <c r="E617" t="s">
        <v>415</v>
      </c>
      <c r="F617" t="s">
        <v>78</v>
      </c>
      <c r="G617" t="s">
        <v>78</v>
      </c>
      <c r="H617" t="s">
        <v>78</v>
      </c>
      <c r="I617" t="s">
        <v>78</v>
      </c>
      <c r="J617" t="s">
        <v>78</v>
      </c>
      <c r="K617" t="s">
        <v>78</v>
      </c>
      <c r="L617" t="s">
        <v>78</v>
      </c>
      <c r="M617" t="s">
        <v>169</v>
      </c>
      <c r="N617" t="s">
        <v>78</v>
      </c>
      <c r="O617" t="s">
        <v>78</v>
      </c>
      <c r="P617" t="s">
        <v>78</v>
      </c>
      <c r="Q617" t="s">
        <v>78</v>
      </c>
      <c r="R617" t="s">
        <v>78</v>
      </c>
      <c r="S617" t="s">
        <v>78</v>
      </c>
    </row>
    <row r="618" spans="1:19" x14ac:dyDescent="0.35">
      <c r="A618" s="530" t="s">
        <v>138</v>
      </c>
      <c r="B618" s="530">
        <v>536040</v>
      </c>
      <c r="C618" s="530">
        <v>17000</v>
      </c>
      <c r="D618" s="530" t="s">
        <v>78</v>
      </c>
      <c r="E618" s="530" t="s">
        <v>344</v>
      </c>
      <c r="F618" s="530" t="s">
        <v>78</v>
      </c>
      <c r="G618" s="530" t="s">
        <v>78</v>
      </c>
      <c r="H618" s="530" t="s">
        <v>78</v>
      </c>
      <c r="I618" s="530" t="s">
        <v>78</v>
      </c>
      <c r="J618" s="530" t="s">
        <v>78</v>
      </c>
      <c r="K618" s="530" t="s">
        <v>78</v>
      </c>
      <c r="L618" s="530" t="s">
        <v>78</v>
      </c>
      <c r="M618" s="530" t="s">
        <v>193</v>
      </c>
      <c r="N618" s="530" t="s">
        <v>78</v>
      </c>
      <c r="O618" s="530"/>
      <c r="P618" s="530" t="s">
        <v>78</v>
      </c>
      <c r="Q618" s="530" t="s">
        <v>78</v>
      </c>
      <c r="R618" s="530" t="s">
        <v>78</v>
      </c>
      <c r="S618" s="530" t="s">
        <v>78</v>
      </c>
    </row>
    <row r="619" spans="1:19" x14ac:dyDescent="0.35">
      <c r="A619" s="531" t="s">
        <v>138</v>
      </c>
      <c r="B619" s="531">
        <v>702640</v>
      </c>
      <c r="C619" s="531">
        <v>17000</v>
      </c>
      <c r="D619" s="531" t="s">
        <v>78</v>
      </c>
      <c r="E619" s="531" t="s">
        <v>421</v>
      </c>
      <c r="F619" s="531" t="s">
        <v>78</v>
      </c>
      <c r="G619" s="531" t="s">
        <v>78</v>
      </c>
      <c r="H619" s="531" t="s">
        <v>78</v>
      </c>
      <c r="I619" s="531" t="s">
        <v>78</v>
      </c>
      <c r="J619" s="531" t="s">
        <v>78</v>
      </c>
      <c r="K619" s="531" t="s">
        <v>78</v>
      </c>
      <c r="L619" s="531" t="s">
        <v>78</v>
      </c>
      <c r="M619" s="531" t="s">
        <v>279</v>
      </c>
      <c r="N619" s="531" t="s">
        <v>78</v>
      </c>
      <c r="O619" s="531"/>
      <c r="P619" s="531" t="s">
        <v>78</v>
      </c>
      <c r="Q619" s="531" t="s">
        <v>78</v>
      </c>
      <c r="R619" s="531" t="s">
        <v>78</v>
      </c>
      <c r="S619" s="531" t="s">
        <v>78</v>
      </c>
    </row>
    <row r="620" spans="1:19" x14ac:dyDescent="0.35">
      <c r="A620" s="530" t="s">
        <v>138</v>
      </c>
      <c r="B620" s="530">
        <v>368680</v>
      </c>
      <c r="C620" s="530">
        <v>17000</v>
      </c>
      <c r="D620" s="530" t="s">
        <v>78</v>
      </c>
      <c r="E620" s="530" t="s">
        <v>415</v>
      </c>
      <c r="F620" s="530" t="s">
        <v>78</v>
      </c>
      <c r="G620" s="530" t="s">
        <v>78</v>
      </c>
      <c r="H620" s="530" t="s">
        <v>78</v>
      </c>
      <c r="I620" s="530" t="s">
        <v>78</v>
      </c>
      <c r="J620" s="530" t="s">
        <v>78</v>
      </c>
      <c r="K620" s="530" t="s">
        <v>78</v>
      </c>
      <c r="L620" s="530" t="s">
        <v>78</v>
      </c>
      <c r="M620" s="530" t="s">
        <v>278</v>
      </c>
      <c r="N620" s="530" t="s">
        <v>78</v>
      </c>
      <c r="O620" s="530"/>
      <c r="P620" s="530" t="s">
        <v>78</v>
      </c>
      <c r="Q620" s="530" t="s">
        <v>78</v>
      </c>
      <c r="R620" s="530" t="s">
        <v>78</v>
      </c>
      <c r="S620" s="530" t="s">
        <v>78</v>
      </c>
    </row>
    <row r="621" spans="1:19" x14ac:dyDescent="0.35">
      <c r="A621" t="s">
        <v>138</v>
      </c>
      <c r="B621">
        <v>164080</v>
      </c>
      <c r="C621">
        <v>17000</v>
      </c>
      <c r="D621" t="s">
        <v>78</v>
      </c>
      <c r="E621" t="s">
        <v>421</v>
      </c>
      <c r="F621" t="s">
        <v>78</v>
      </c>
      <c r="G621" t="s">
        <v>78</v>
      </c>
      <c r="H621" t="s">
        <v>78</v>
      </c>
      <c r="I621" t="s">
        <v>78</v>
      </c>
      <c r="J621" t="s">
        <v>78</v>
      </c>
      <c r="K621" t="s">
        <v>78</v>
      </c>
      <c r="L621" t="s">
        <v>78</v>
      </c>
      <c r="M621" t="s">
        <v>278</v>
      </c>
      <c r="N621" t="s">
        <v>78</v>
      </c>
      <c r="P621" t="s">
        <v>78</v>
      </c>
      <c r="Q621" t="s">
        <v>78</v>
      </c>
      <c r="R621" t="s">
        <v>78</v>
      </c>
      <c r="S621" t="s">
        <v>78</v>
      </c>
    </row>
    <row r="622" spans="1:19" x14ac:dyDescent="0.35">
      <c r="A622" t="s">
        <v>138</v>
      </c>
      <c r="B622">
        <v>846280</v>
      </c>
      <c r="C622">
        <v>17000</v>
      </c>
      <c r="D622" t="s">
        <v>78</v>
      </c>
      <c r="E622" t="s">
        <v>562</v>
      </c>
      <c r="F622" t="s">
        <v>78</v>
      </c>
      <c r="G622" t="s">
        <v>78</v>
      </c>
      <c r="H622" t="s">
        <v>78</v>
      </c>
      <c r="I622" t="s">
        <v>78</v>
      </c>
      <c r="J622" t="s">
        <v>78</v>
      </c>
      <c r="K622" t="s">
        <v>78</v>
      </c>
      <c r="L622" t="s">
        <v>78</v>
      </c>
      <c r="M622" t="s">
        <v>279</v>
      </c>
      <c r="N622" t="s">
        <v>78</v>
      </c>
      <c r="O622" t="s">
        <v>78</v>
      </c>
      <c r="P622" t="s">
        <v>78</v>
      </c>
      <c r="Q622" t="s">
        <v>78</v>
      </c>
      <c r="R622" t="s">
        <v>78</v>
      </c>
      <c r="S622" t="s">
        <v>78</v>
      </c>
    </row>
    <row r="623" spans="1:19" x14ac:dyDescent="0.35">
      <c r="A623" s="530" t="s">
        <v>201</v>
      </c>
      <c r="B623" s="530">
        <v>466400</v>
      </c>
      <c r="C623" s="530">
        <v>17000</v>
      </c>
      <c r="D623" s="530" t="s">
        <v>78</v>
      </c>
      <c r="E623" s="530" t="s">
        <v>439</v>
      </c>
      <c r="F623" s="530" t="s">
        <v>78</v>
      </c>
      <c r="G623" s="530" t="s">
        <v>78</v>
      </c>
      <c r="H623" s="530" t="s">
        <v>78</v>
      </c>
      <c r="I623" s="530" t="s">
        <v>78</v>
      </c>
      <c r="J623" s="530" t="s">
        <v>78</v>
      </c>
      <c r="K623" s="530" t="s">
        <v>78</v>
      </c>
      <c r="L623" s="530" t="s">
        <v>78</v>
      </c>
      <c r="M623" s="530" t="s">
        <v>193</v>
      </c>
      <c r="N623" s="530" t="s">
        <v>78</v>
      </c>
      <c r="O623" s="530"/>
      <c r="P623" s="530" t="s">
        <v>78</v>
      </c>
      <c r="Q623" s="530" t="s">
        <v>78</v>
      </c>
      <c r="R623" s="530" t="s">
        <v>78</v>
      </c>
      <c r="S623" s="530" t="s">
        <v>78</v>
      </c>
    </row>
    <row r="624" spans="1:19" x14ac:dyDescent="0.35">
      <c r="A624" s="530" t="s">
        <v>201</v>
      </c>
      <c r="B624" s="530">
        <v>89000</v>
      </c>
      <c r="C624" s="530">
        <v>17000</v>
      </c>
      <c r="D624" s="530" t="s">
        <v>78</v>
      </c>
      <c r="E624" s="530" t="s">
        <v>415</v>
      </c>
      <c r="F624" s="530" t="s">
        <v>78</v>
      </c>
      <c r="G624" s="530" t="s">
        <v>78</v>
      </c>
      <c r="H624" s="530" t="s">
        <v>78</v>
      </c>
      <c r="I624" s="530" t="s">
        <v>78</v>
      </c>
      <c r="J624" s="530" t="s">
        <v>78</v>
      </c>
      <c r="K624" s="530" t="s">
        <v>78</v>
      </c>
      <c r="L624" s="530" t="s">
        <v>78</v>
      </c>
      <c r="M624" s="530" t="s">
        <v>193</v>
      </c>
      <c r="N624" s="530" t="s">
        <v>78</v>
      </c>
      <c r="O624" s="530"/>
      <c r="P624" s="530" t="s">
        <v>78</v>
      </c>
      <c r="Q624" s="530" t="s">
        <v>78</v>
      </c>
      <c r="R624" s="530" t="s">
        <v>78</v>
      </c>
      <c r="S624" s="530" t="s">
        <v>78</v>
      </c>
    </row>
    <row r="625" spans="1:19" x14ac:dyDescent="0.35">
      <c r="A625" t="s">
        <v>201</v>
      </c>
      <c r="B625">
        <v>681160</v>
      </c>
      <c r="C625">
        <v>17000</v>
      </c>
      <c r="D625" t="s">
        <v>78</v>
      </c>
      <c r="E625" t="s">
        <v>421</v>
      </c>
      <c r="F625" t="s">
        <v>78</v>
      </c>
      <c r="G625" t="s">
        <v>78</v>
      </c>
      <c r="H625" t="s">
        <v>78</v>
      </c>
      <c r="I625" t="s">
        <v>78</v>
      </c>
      <c r="J625" t="s">
        <v>78</v>
      </c>
      <c r="K625" t="s">
        <v>78</v>
      </c>
      <c r="L625" t="s">
        <v>78</v>
      </c>
      <c r="M625" t="s">
        <v>185</v>
      </c>
      <c r="N625" t="s">
        <v>78</v>
      </c>
      <c r="P625" t="s">
        <v>78</v>
      </c>
      <c r="Q625" t="s">
        <v>78</v>
      </c>
      <c r="R625" t="s">
        <v>78</v>
      </c>
      <c r="S625" t="s">
        <v>78</v>
      </c>
    </row>
    <row r="626" spans="1:19" x14ac:dyDescent="0.35">
      <c r="A626" t="s">
        <v>201</v>
      </c>
      <c r="B626">
        <v>565480</v>
      </c>
      <c r="C626">
        <v>17000</v>
      </c>
      <c r="D626" t="s">
        <v>78</v>
      </c>
      <c r="E626" t="s">
        <v>415</v>
      </c>
      <c r="F626" t="s">
        <v>78</v>
      </c>
      <c r="G626" t="s">
        <v>78</v>
      </c>
      <c r="H626" t="s">
        <v>78</v>
      </c>
      <c r="I626" t="s">
        <v>78</v>
      </c>
      <c r="J626" t="s">
        <v>78</v>
      </c>
      <c r="K626" t="s">
        <v>78</v>
      </c>
      <c r="L626" t="s">
        <v>78</v>
      </c>
      <c r="M626" t="s">
        <v>160</v>
      </c>
      <c r="N626" t="s">
        <v>78</v>
      </c>
      <c r="O626" t="s">
        <v>78</v>
      </c>
      <c r="P626" t="s">
        <v>78</v>
      </c>
      <c r="Q626" t="s">
        <v>78</v>
      </c>
      <c r="R626" t="s">
        <v>78</v>
      </c>
      <c r="S626" t="s">
        <v>78</v>
      </c>
    </row>
    <row r="627" spans="1:19" x14ac:dyDescent="0.35">
      <c r="A627" s="531" t="s">
        <v>202</v>
      </c>
      <c r="B627" s="531">
        <v>682560</v>
      </c>
      <c r="C627" s="531">
        <v>17000</v>
      </c>
      <c r="D627" s="531" t="s">
        <v>78</v>
      </c>
      <c r="E627" s="531" t="s">
        <v>420</v>
      </c>
      <c r="F627" s="531" t="s">
        <v>78</v>
      </c>
      <c r="G627" s="531" t="s">
        <v>78</v>
      </c>
      <c r="H627" s="531" t="s">
        <v>78</v>
      </c>
      <c r="I627" s="531" t="s">
        <v>78</v>
      </c>
      <c r="J627" s="531" t="s">
        <v>78</v>
      </c>
      <c r="K627" s="531" t="s">
        <v>78</v>
      </c>
      <c r="L627" s="531" t="s">
        <v>78</v>
      </c>
      <c r="M627" s="531" t="s">
        <v>169</v>
      </c>
      <c r="N627" s="531" t="s">
        <v>78</v>
      </c>
      <c r="O627" s="531"/>
      <c r="P627" s="531" t="s">
        <v>78</v>
      </c>
      <c r="Q627" s="531" t="s">
        <v>78</v>
      </c>
      <c r="R627" s="531" t="s">
        <v>78</v>
      </c>
      <c r="S627" s="531" t="s">
        <v>78</v>
      </c>
    </row>
    <row r="628" spans="1:19" x14ac:dyDescent="0.35">
      <c r="A628" s="530" t="s">
        <v>202</v>
      </c>
      <c r="B628" s="530">
        <v>141920</v>
      </c>
      <c r="C628" s="530">
        <v>17000</v>
      </c>
      <c r="D628" s="530" t="s">
        <v>78</v>
      </c>
      <c r="E628" s="530" t="s">
        <v>415</v>
      </c>
      <c r="F628" s="530" t="s">
        <v>78</v>
      </c>
      <c r="G628" s="530" t="s">
        <v>78</v>
      </c>
      <c r="H628" s="530" t="s">
        <v>78</v>
      </c>
      <c r="I628" s="530" t="s">
        <v>78</v>
      </c>
      <c r="J628" s="530" t="s">
        <v>78</v>
      </c>
      <c r="K628" s="530" t="s">
        <v>78</v>
      </c>
      <c r="L628" s="530" t="s">
        <v>78</v>
      </c>
      <c r="M628" s="530" t="s">
        <v>166</v>
      </c>
      <c r="N628" s="530" t="s">
        <v>78</v>
      </c>
      <c r="O628" s="530"/>
      <c r="P628" s="530" t="s">
        <v>78</v>
      </c>
      <c r="Q628" s="530" t="s">
        <v>78</v>
      </c>
      <c r="R628" s="530" t="s">
        <v>78</v>
      </c>
      <c r="S628" s="530" t="s">
        <v>78</v>
      </c>
    </row>
    <row r="629" spans="1:19" x14ac:dyDescent="0.35">
      <c r="A629" t="s">
        <v>202</v>
      </c>
      <c r="B629">
        <v>728080</v>
      </c>
      <c r="C629">
        <v>17000</v>
      </c>
      <c r="D629" t="s">
        <v>78</v>
      </c>
      <c r="E629" t="s">
        <v>421</v>
      </c>
      <c r="F629" t="s">
        <v>78</v>
      </c>
      <c r="G629" t="s">
        <v>78</v>
      </c>
      <c r="H629" t="s">
        <v>78</v>
      </c>
      <c r="I629" t="s">
        <v>78</v>
      </c>
      <c r="J629" t="s">
        <v>78</v>
      </c>
      <c r="K629" t="s">
        <v>78</v>
      </c>
      <c r="L629" t="s">
        <v>78</v>
      </c>
      <c r="M629" t="s">
        <v>209</v>
      </c>
      <c r="N629" t="s">
        <v>78</v>
      </c>
      <c r="P629" t="s">
        <v>78</v>
      </c>
      <c r="Q629" t="s">
        <v>78</v>
      </c>
      <c r="R629" t="s">
        <v>78</v>
      </c>
      <c r="S629" t="s">
        <v>78</v>
      </c>
    </row>
    <row r="630" spans="1:19" x14ac:dyDescent="0.35">
      <c r="A630" t="s">
        <v>202</v>
      </c>
      <c r="B630">
        <v>672840</v>
      </c>
      <c r="C630">
        <v>17000</v>
      </c>
      <c r="D630" t="s">
        <v>78</v>
      </c>
      <c r="E630" t="s">
        <v>347</v>
      </c>
      <c r="F630" t="s">
        <v>78</v>
      </c>
      <c r="G630" t="s">
        <v>78</v>
      </c>
      <c r="H630" t="s">
        <v>78</v>
      </c>
      <c r="I630" t="s">
        <v>78</v>
      </c>
      <c r="J630" t="s">
        <v>78</v>
      </c>
      <c r="K630" t="s">
        <v>78</v>
      </c>
      <c r="L630" t="s">
        <v>78</v>
      </c>
      <c r="M630" t="s">
        <v>164</v>
      </c>
      <c r="N630" t="s">
        <v>78</v>
      </c>
      <c r="O630" t="s">
        <v>78</v>
      </c>
      <c r="P630" t="s">
        <v>78</v>
      </c>
      <c r="Q630" t="s">
        <v>78</v>
      </c>
      <c r="R630" t="s">
        <v>78</v>
      </c>
      <c r="S630" t="s">
        <v>78</v>
      </c>
    </row>
    <row r="631" spans="1:19" x14ac:dyDescent="0.35">
      <c r="A631" s="530" t="s">
        <v>203</v>
      </c>
      <c r="B631" s="530">
        <v>1020880</v>
      </c>
      <c r="C631" s="530">
        <v>17000</v>
      </c>
      <c r="D631" s="530" t="s">
        <v>78</v>
      </c>
      <c r="E631" s="530" t="s">
        <v>377</v>
      </c>
      <c r="F631" s="530" t="s">
        <v>78</v>
      </c>
      <c r="G631" s="530" t="s">
        <v>78</v>
      </c>
      <c r="H631" s="530" t="s">
        <v>78</v>
      </c>
      <c r="I631" s="530" t="s">
        <v>78</v>
      </c>
      <c r="J631" s="530" t="s">
        <v>78</v>
      </c>
      <c r="K631" s="530" t="s">
        <v>78</v>
      </c>
      <c r="L631" s="530" t="s">
        <v>78</v>
      </c>
      <c r="M631" s="530" t="s">
        <v>164</v>
      </c>
      <c r="N631" s="530" t="s">
        <v>78</v>
      </c>
      <c r="O631" s="530"/>
      <c r="P631" s="530" t="s">
        <v>78</v>
      </c>
      <c r="Q631" s="530" t="s">
        <v>78</v>
      </c>
      <c r="R631" s="530" t="s">
        <v>78</v>
      </c>
      <c r="S631" s="530" t="s">
        <v>78</v>
      </c>
    </row>
    <row r="632" spans="1:19" x14ac:dyDescent="0.35">
      <c r="A632" s="530" t="s">
        <v>203</v>
      </c>
      <c r="B632" s="530">
        <v>417280</v>
      </c>
      <c r="C632" s="530">
        <v>17000</v>
      </c>
      <c r="D632" s="530" t="s">
        <v>78</v>
      </c>
      <c r="E632" s="530" t="s">
        <v>422</v>
      </c>
      <c r="F632" s="530" t="s">
        <v>78</v>
      </c>
      <c r="G632" s="530" t="s">
        <v>78</v>
      </c>
      <c r="H632" s="530" t="s">
        <v>78</v>
      </c>
      <c r="I632" s="530" t="s">
        <v>78</v>
      </c>
      <c r="J632" s="530" t="s">
        <v>78</v>
      </c>
      <c r="K632" s="530" t="s">
        <v>78</v>
      </c>
      <c r="L632" s="530" t="s">
        <v>78</v>
      </c>
      <c r="M632" s="530" t="s">
        <v>164</v>
      </c>
      <c r="N632" s="530" t="s">
        <v>78</v>
      </c>
      <c r="O632" s="530"/>
      <c r="P632" s="530" t="s">
        <v>78</v>
      </c>
      <c r="Q632" s="530" t="s">
        <v>78</v>
      </c>
      <c r="R632" s="530" t="s">
        <v>78</v>
      </c>
      <c r="S632" s="530" t="s">
        <v>78</v>
      </c>
    </row>
    <row r="633" spans="1:19" x14ac:dyDescent="0.35">
      <c r="A633" t="s">
        <v>203</v>
      </c>
      <c r="B633">
        <v>1217280</v>
      </c>
      <c r="C633">
        <v>17000</v>
      </c>
      <c r="D633" t="s">
        <v>78</v>
      </c>
      <c r="E633" t="s">
        <v>348</v>
      </c>
      <c r="F633" t="s">
        <v>78</v>
      </c>
      <c r="G633" t="s">
        <v>78</v>
      </c>
      <c r="H633" t="s">
        <v>78</v>
      </c>
      <c r="I633" t="s">
        <v>78</v>
      </c>
      <c r="J633" t="s">
        <v>78</v>
      </c>
      <c r="K633" t="s">
        <v>78</v>
      </c>
      <c r="L633" t="s">
        <v>78</v>
      </c>
      <c r="M633" t="s">
        <v>185</v>
      </c>
      <c r="N633" t="s">
        <v>78</v>
      </c>
      <c r="P633" t="s">
        <v>78</v>
      </c>
      <c r="Q633" t="s">
        <v>78</v>
      </c>
      <c r="R633" t="s">
        <v>78</v>
      </c>
      <c r="S633" t="s">
        <v>78</v>
      </c>
    </row>
    <row r="634" spans="1:19" x14ac:dyDescent="0.35">
      <c r="A634" t="s">
        <v>203</v>
      </c>
      <c r="B634">
        <v>672840</v>
      </c>
      <c r="C634">
        <v>17000</v>
      </c>
      <c r="D634" t="s">
        <v>78</v>
      </c>
      <c r="E634" t="s">
        <v>344</v>
      </c>
      <c r="F634" t="s">
        <v>78</v>
      </c>
      <c r="G634" t="s">
        <v>78</v>
      </c>
      <c r="H634" t="s">
        <v>78</v>
      </c>
      <c r="I634" t="s">
        <v>78</v>
      </c>
      <c r="J634" t="s">
        <v>78</v>
      </c>
      <c r="K634" t="s">
        <v>78</v>
      </c>
      <c r="L634" t="s">
        <v>78</v>
      </c>
      <c r="M634" t="s">
        <v>169</v>
      </c>
      <c r="N634" t="s">
        <v>78</v>
      </c>
      <c r="O634" t="s">
        <v>78</v>
      </c>
      <c r="P634" t="s">
        <v>78</v>
      </c>
      <c r="Q634" t="s">
        <v>78</v>
      </c>
      <c r="R634" t="s">
        <v>78</v>
      </c>
      <c r="S634" t="s">
        <v>78</v>
      </c>
    </row>
    <row r="635" spans="1:19" x14ac:dyDescent="0.35">
      <c r="A635" s="531" t="s">
        <v>352</v>
      </c>
      <c r="B635" s="531">
        <v>1137080</v>
      </c>
      <c r="C635" s="531">
        <v>17000</v>
      </c>
      <c r="D635" s="531" t="s">
        <v>78</v>
      </c>
      <c r="E635" s="531" t="s">
        <v>420</v>
      </c>
      <c r="F635" s="531" t="s">
        <v>78</v>
      </c>
      <c r="G635" s="531" t="s">
        <v>78</v>
      </c>
      <c r="H635" s="531" t="s">
        <v>78</v>
      </c>
      <c r="I635" s="531" t="s">
        <v>78</v>
      </c>
      <c r="J635" s="531" t="s">
        <v>78</v>
      </c>
      <c r="K635" s="531" t="s">
        <v>78</v>
      </c>
      <c r="L635" s="531" t="s">
        <v>78</v>
      </c>
      <c r="M635" s="531" t="s">
        <v>279</v>
      </c>
      <c r="N635" s="531" t="s">
        <v>78</v>
      </c>
      <c r="O635" s="531"/>
      <c r="P635" s="531" t="s">
        <v>78</v>
      </c>
      <c r="Q635" s="531" t="s">
        <v>78</v>
      </c>
      <c r="R635" s="531" t="s">
        <v>78</v>
      </c>
      <c r="S635" s="531" t="s">
        <v>78</v>
      </c>
    </row>
    <row r="636" spans="1:19" x14ac:dyDescent="0.35">
      <c r="A636" s="531" t="s">
        <v>352</v>
      </c>
      <c r="B636" s="531">
        <v>417280</v>
      </c>
      <c r="C636" s="531">
        <v>17000</v>
      </c>
      <c r="D636" s="531" t="s">
        <v>78</v>
      </c>
      <c r="E636" s="531" t="s">
        <v>346</v>
      </c>
      <c r="F636" s="531" t="s">
        <v>78</v>
      </c>
      <c r="G636" s="531" t="s">
        <v>78</v>
      </c>
      <c r="H636" s="531" t="s">
        <v>78</v>
      </c>
      <c r="I636" s="531" t="s">
        <v>78</v>
      </c>
      <c r="J636" s="531" t="s">
        <v>78</v>
      </c>
      <c r="K636" s="531" t="s">
        <v>78</v>
      </c>
      <c r="L636" s="531" t="s">
        <v>78</v>
      </c>
      <c r="M636" s="531" t="s">
        <v>164</v>
      </c>
      <c r="N636" s="531" t="s">
        <v>78</v>
      </c>
      <c r="O636" s="531"/>
      <c r="P636" s="531" t="s">
        <v>78</v>
      </c>
      <c r="Q636" s="531" t="s">
        <v>78</v>
      </c>
      <c r="R636" s="531" t="s">
        <v>78</v>
      </c>
      <c r="S636" s="531" t="s">
        <v>78</v>
      </c>
    </row>
    <row r="637" spans="1:19" x14ac:dyDescent="0.35">
      <c r="A637" t="s">
        <v>352</v>
      </c>
      <c r="B637">
        <v>1370120</v>
      </c>
      <c r="C637">
        <v>17000</v>
      </c>
      <c r="D637" t="s">
        <v>78</v>
      </c>
      <c r="E637" t="s">
        <v>415</v>
      </c>
      <c r="F637" t="s">
        <v>78</v>
      </c>
      <c r="G637" t="s">
        <v>78</v>
      </c>
      <c r="H637" t="s">
        <v>78</v>
      </c>
      <c r="I637" t="s">
        <v>78</v>
      </c>
      <c r="J637" t="s">
        <v>78</v>
      </c>
      <c r="K637" t="s">
        <v>78</v>
      </c>
      <c r="L637" t="s">
        <v>78</v>
      </c>
      <c r="M637" t="s">
        <v>193</v>
      </c>
      <c r="N637" t="s">
        <v>78</v>
      </c>
      <c r="P637" t="s">
        <v>78</v>
      </c>
      <c r="Q637" t="s">
        <v>78</v>
      </c>
      <c r="R637" t="s">
        <v>78</v>
      </c>
      <c r="S637" t="s">
        <v>78</v>
      </c>
    </row>
    <row r="638" spans="1:19" x14ac:dyDescent="0.35">
      <c r="A638" t="s">
        <v>352</v>
      </c>
      <c r="B638">
        <v>688920</v>
      </c>
      <c r="C638">
        <v>17000</v>
      </c>
      <c r="D638" t="s">
        <v>78</v>
      </c>
      <c r="E638" t="s">
        <v>439</v>
      </c>
      <c r="F638" t="s">
        <v>78</v>
      </c>
      <c r="G638" t="s">
        <v>78</v>
      </c>
      <c r="H638" t="s">
        <v>78</v>
      </c>
      <c r="I638" t="s">
        <v>78</v>
      </c>
      <c r="J638" t="s">
        <v>78</v>
      </c>
      <c r="K638" t="s">
        <v>78</v>
      </c>
      <c r="L638" t="s">
        <v>78</v>
      </c>
      <c r="M638" t="s">
        <v>166</v>
      </c>
      <c r="N638" t="s">
        <v>78</v>
      </c>
      <c r="O638" t="s">
        <v>78</v>
      </c>
      <c r="P638" t="s">
        <v>78</v>
      </c>
      <c r="Q638" t="s">
        <v>78</v>
      </c>
      <c r="R638" t="s">
        <v>78</v>
      </c>
      <c r="S638" t="s">
        <v>78</v>
      </c>
    </row>
    <row r="639" spans="1:19" x14ac:dyDescent="0.35">
      <c r="A639" s="530" t="s">
        <v>353</v>
      </c>
      <c r="B639" s="530">
        <v>1150640</v>
      </c>
      <c r="C639" s="530">
        <v>17000</v>
      </c>
      <c r="D639" s="530" t="s">
        <v>78</v>
      </c>
      <c r="E639" s="530" t="s">
        <v>415</v>
      </c>
      <c r="F639" s="530" t="s">
        <v>78</v>
      </c>
      <c r="G639" s="530" t="s">
        <v>78</v>
      </c>
      <c r="H639" s="530" t="s">
        <v>78</v>
      </c>
      <c r="I639" s="530" t="s">
        <v>78</v>
      </c>
      <c r="J639" s="530" t="s">
        <v>78</v>
      </c>
      <c r="K639" s="530" t="s">
        <v>78</v>
      </c>
      <c r="L639" s="530" t="s">
        <v>78</v>
      </c>
      <c r="M639" s="530" t="s">
        <v>279</v>
      </c>
      <c r="N639" s="530" t="s">
        <v>78</v>
      </c>
      <c r="O639" s="530"/>
      <c r="P639" s="530" t="s">
        <v>78</v>
      </c>
      <c r="Q639" s="530" t="s">
        <v>78</v>
      </c>
      <c r="R639" s="530" t="s">
        <v>78</v>
      </c>
      <c r="S639" s="530" t="s">
        <v>78</v>
      </c>
    </row>
    <row r="640" spans="1:19" x14ac:dyDescent="0.35">
      <c r="A640" s="531" t="s">
        <v>353</v>
      </c>
      <c r="B640" s="531">
        <v>504520</v>
      </c>
      <c r="C640" s="531">
        <v>17000</v>
      </c>
      <c r="D640" s="531" t="s">
        <v>78</v>
      </c>
      <c r="E640" s="531" t="s">
        <v>422</v>
      </c>
      <c r="F640" s="531" t="s">
        <v>78</v>
      </c>
      <c r="G640" s="531" t="s">
        <v>78</v>
      </c>
      <c r="H640" s="531" t="s">
        <v>78</v>
      </c>
      <c r="I640" s="531" t="s">
        <v>78</v>
      </c>
      <c r="J640" s="531" t="s">
        <v>78</v>
      </c>
      <c r="K640" s="531" t="s">
        <v>78</v>
      </c>
      <c r="L640" s="531" t="s">
        <v>78</v>
      </c>
      <c r="M640" s="531" t="s">
        <v>279</v>
      </c>
      <c r="N640" s="531" t="s">
        <v>78</v>
      </c>
      <c r="O640" s="531"/>
      <c r="P640" s="531" t="s">
        <v>78</v>
      </c>
      <c r="Q640" s="531" t="s">
        <v>78</v>
      </c>
      <c r="R640" s="531" t="s">
        <v>78</v>
      </c>
      <c r="S640" s="531" t="s">
        <v>78</v>
      </c>
    </row>
    <row r="641" spans="1:19" x14ac:dyDescent="0.35">
      <c r="A641" t="s">
        <v>353</v>
      </c>
      <c r="B641">
        <v>1537680</v>
      </c>
      <c r="C641">
        <v>17000</v>
      </c>
      <c r="D641" t="s">
        <v>78</v>
      </c>
      <c r="E641" t="s">
        <v>344</v>
      </c>
      <c r="F641" t="s">
        <v>78</v>
      </c>
      <c r="G641" t="s">
        <v>78</v>
      </c>
      <c r="H641" t="s">
        <v>78</v>
      </c>
      <c r="I641" t="s">
        <v>78</v>
      </c>
      <c r="J641" t="s">
        <v>78</v>
      </c>
      <c r="K641" t="s">
        <v>78</v>
      </c>
      <c r="L641" t="s">
        <v>78</v>
      </c>
      <c r="M641" t="s">
        <v>164</v>
      </c>
      <c r="N641" t="s">
        <v>78</v>
      </c>
      <c r="P641" t="s">
        <v>78</v>
      </c>
      <c r="Q641" t="s">
        <v>78</v>
      </c>
      <c r="R641" t="s">
        <v>78</v>
      </c>
      <c r="S641" t="s">
        <v>78</v>
      </c>
    </row>
    <row r="642" spans="1:19" x14ac:dyDescent="0.35">
      <c r="A642" t="s">
        <v>353</v>
      </c>
      <c r="B642">
        <v>707960</v>
      </c>
      <c r="C642">
        <v>17000</v>
      </c>
      <c r="D642" t="s">
        <v>78</v>
      </c>
      <c r="E642" t="s">
        <v>346</v>
      </c>
      <c r="F642" t="s">
        <v>78</v>
      </c>
      <c r="G642" t="s">
        <v>78</v>
      </c>
      <c r="H642" t="s">
        <v>78</v>
      </c>
      <c r="I642" t="s">
        <v>78</v>
      </c>
      <c r="J642" t="s">
        <v>78</v>
      </c>
      <c r="K642" t="s">
        <v>78</v>
      </c>
      <c r="L642" t="s">
        <v>78</v>
      </c>
      <c r="M642" t="s">
        <v>164</v>
      </c>
      <c r="N642" t="s">
        <v>78</v>
      </c>
      <c r="O642" t="s">
        <v>78</v>
      </c>
      <c r="P642" t="s">
        <v>78</v>
      </c>
      <c r="Q642" t="s">
        <v>78</v>
      </c>
      <c r="R642" t="s">
        <v>78</v>
      </c>
      <c r="S642" t="s">
        <v>78</v>
      </c>
    </row>
    <row r="643" spans="1:19" x14ac:dyDescent="0.35">
      <c r="A643" s="531" t="s">
        <v>450</v>
      </c>
      <c r="B643" s="531">
        <v>1211680</v>
      </c>
      <c r="C643" s="531">
        <v>17000</v>
      </c>
      <c r="D643" s="531" t="s">
        <v>78</v>
      </c>
      <c r="E643" s="531" t="s">
        <v>344</v>
      </c>
      <c r="F643" s="531" t="s">
        <v>78</v>
      </c>
      <c r="G643" s="531" t="s">
        <v>78</v>
      </c>
      <c r="H643" s="531" t="s">
        <v>78</v>
      </c>
      <c r="I643" s="531" t="s">
        <v>78</v>
      </c>
      <c r="J643" s="531" t="s">
        <v>78</v>
      </c>
      <c r="K643" s="531" t="s">
        <v>78</v>
      </c>
      <c r="L643" s="531" t="s">
        <v>78</v>
      </c>
      <c r="M643" s="531" t="s">
        <v>193</v>
      </c>
      <c r="N643" s="531" t="s">
        <v>78</v>
      </c>
      <c r="O643" s="531"/>
      <c r="P643" s="531" t="s">
        <v>78</v>
      </c>
      <c r="Q643" s="531" t="s">
        <v>78</v>
      </c>
      <c r="R643" s="531" t="s">
        <v>78</v>
      </c>
      <c r="S643" s="531" t="s">
        <v>78</v>
      </c>
    </row>
    <row r="644" spans="1:19" x14ac:dyDescent="0.35">
      <c r="A644" t="s">
        <v>450</v>
      </c>
      <c r="B644">
        <v>1867320</v>
      </c>
      <c r="C644">
        <v>17000</v>
      </c>
      <c r="D644" t="s">
        <v>78</v>
      </c>
      <c r="E644" t="s">
        <v>415</v>
      </c>
      <c r="F644" t="s">
        <v>78</v>
      </c>
      <c r="G644" t="s">
        <v>78</v>
      </c>
      <c r="H644" t="s">
        <v>78</v>
      </c>
      <c r="I644" t="s">
        <v>78</v>
      </c>
      <c r="J644" t="s">
        <v>78</v>
      </c>
      <c r="K644" t="s">
        <v>78</v>
      </c>
      <c r="L644" t="s">
        <v>78</v>
      </c>
      <c r="M644" t="s">
        <v>169</v>
      </c>
      <c r="N644" t="s">
        <v>78</v>
      </c>
      <c r="P644" t="s">
        <v>78</v>
      </c>
      <c r="Q644" t="s">
        <v>78</v>
      </c>
      <c r="R644" t="s">
        <v>78</v>
      </c>
      <c r="S644" t="s">
        <v>78</v>
      </c>
    </row>
    <row r="645" spans="1:19" x14ac:dyDescent="0.35">
      <c r="A645" t="s">
        <v>450</v>
      </c>
      <c r="B645">
        <v>707960</v>
      </c>
      <c r="C645">
        <v>17000</v>
      </c>
      <c r="D645" t="s">
        <v>78</v>
      </c>
      <c r="E645" t="s">
        <v>377</v>
      </c>
      <c r="F645" t="s">
        <v>78</v>
      </c>
      <c r="G645" t="s">
        <v>78</v>
      </c>
      <c r="H645" t="s">
        <v>78</v>
      </c>
      <c r="I645" t="s">
        <v>78</v>
      </c>
      <c r="J645" t="s">
        <v>78</v>
      </c>
      <c r="K645" t="s">
        <v>78</v>
      </c>
      <c r="L645" t="s">
        <v>78</v>
      </c>
      <c r="M645" t="s">
        <v>164</v>
      </c>
      <c r="N645" t="s">
        <v>78</v>
      </c>
      <c r="O645" t="s">
        <v>78</v>
      </c>
      <c r="P645" t="s">
        <v>78</v>
      </c>
      <c r="Q645" t="s">
        <v>78</v>
      </c>
      <c r="R645" t="s">
        <v>78</v>
      </c>
      <c r="S645" t="s">
        <v>78</v>
      </c>
    </row>
    <row r="646" spans="1:19" x14ac:dyDescent="0.35">
      <c r="A646" s="530" t="s">
        <v>451</v>
      </c>
      <c r="B646" s="530">
        <v>1211680</v>
      </c>
      <c r="C646" s="530">
        <v>17000</v>
      </c>
      <c r="D646" s="530" t="s">
        <v>78</v>
      </c>
      <c r="E646" s="530" t="s">
        <v>415</v>
      </c>
      <c r="F646" s="530" t="s">
        <v>78</v>
      </c>
      <c r="G646" s="530" t="s">
        <v>78</v>
      </c>
      <c r="H646" s="530" t="s">
        <v>78</v>
      </c>
      <c r="I646" s="530" t="s">
        <v>78</v>
      </c>
      <c r="J646" s="530" t="s">
        <v>78</v>
      </c>
      <c r="K646" s="530" t="s">
        <v>78</v>
      </c>
      <c r="L646" s="530" t="s">
        <v>78</v>
      </c>
      <c r="M646" s="530" t="s">
        <v>193</v>
      </c>
      <c r="N646" s="530" t="s">
        <v>78</v>
      </c>
      <c r="O646" s="530"/>
      <c r="P646" s="530" t="s">
        <v>78</v>
      </c>
      <c r="Q646" s="530" t="s">
        <v>78</v>
      </c>
      <c r="R646" s="530" t="s">
        <v>78</v>
      </c>
      <c r="S646" s="530" t="s">
        <v>78</v>
      </c>
    </row>
    <row r="647" spans="1:19" x14ac:dyDescent="0.35">
      <c r="A647" t="s">
        <v>451</v>
      </c>
      <c r="B647">
        <v>1925440</v>
      </c>
      <c r="C647">
        <v>17000</v>
      </c>
      <c r="D647" t="s">
        <v>78</v>
      </c>
      <c r="E647" t="s">
        <v>346</v>
      </c>
      <c r="F647" t="s">
        <v>78</v>
      </c>
      <c r="G647" t="s">
        <v>78</v>
      </c>
      <c r="H647" t="s">
        <v>78</v>
      </c>
      <c r="I647" t="s">
        <v>78</v>
      </c>
      <c r="J647" t="s">
        <v>78</v>
      </c>
      <c r="K647" t="s">
        <v>78</v>
      </c>
      <c r="L647" t="s">
        <v>78</v>
      </c>
      <c r="M647" t="s">
        <v>164</v>
      </c>
      <c r="N647" t="s">
        <v>78</v>
      </c>
      <c r="P647" t="s">
        <v>78</v>
      </c>
      <c r="Q647" t="s">
        <v>78</v>
      </c>
      <c r="R647" t="s">
        <v>78</v>
      </c>
      <c r="S647" t="s">
        <v>78</v>
      </c>
    </row>
    <row r="648" spans="1:19" x14ac:dyDescent="0.35">
      <c r="A648" t="s">
        <v>451</v>
      </c>
      <c r="B648">
        <v>1135960</v>
      </c>
      <c r="C648">
        <v>17000</v>
      </c>
      <c r="D648" t="s">
        <v>78</v>
      </c>
      <c r="E648" t="s">
        <v>439</v>
      </c>
      <c r="F648" t="s">
        <v>78</v>
      </c>
      <c r="G648" t="s">
        <v>78</v>
      </c>
      <c r="H648" t="s">
        <v>78</v>
      </c>
      <c r="I648" t="s">
        <v>78</v>
      </c>
      <c r="J648" t="s">
        <v>78</v>
      </c>
      <c r="K648" t="s">
        <v>78</v>
      </c>
      <c r="L648" t="s">
        <v>78</v>
      </c>
      <c r="M648" t="s">
        <v>166</v>
      </c>
      <c r="N648" t="s">
        <v>78</v>
      </c>
      <c r="O648" t="s">
        <v>78</v>
      </c>
      <c r="P648" t="s">
        <v>78</v>
      </c>
      <c r="Q648" t="s">
        <v>78</v>
      </c>
      <c r="R648" t="s">
        <v>78</v>
      </c>
      <c r="S648" t="s">
        <v>78</v>
      </c>
    </row>
    <row r="649" spans="1:19" x14ac:dyDescent="0.35">
      <c r="A649" s="531" t="s">
        <v>452</v>
      </c>
      <c r="B649" s="531">
        <v>1503840</v>
      </c>
      <c r="C649" s="531">
        <v>17000</v>
      </c>
      <c r="D649" s="531" t="s">
        <v>78</v>
      </c>
      <c r="E649" s="531" t="s">
        <v>346</v>
      </c>
      <c r="F649" s="531" t="s">
        <v>78</v>
      </c>
      <c r="G649" s="531" t="s">
        <v>78</v>
      </c>
      <c r="H649" s="531" t="s">
        <v>78</v>
      </c>
      <c r="I649" s="531" t="s">
        <v>78</v>
      </c>
      <c r="J649" s="531" t="s">
        <v>78</v>
      </c>
      <c r="K649" s="531" t="s">
        <v>78</v>
      </c>
      <c r="L649" s="531" t="s">
        <v>78</v>
      </c>
      <c r="M649" s="531" t="s">
        <v>193</v>
      </c>
      <c r="N649" s="531" t="s">
        <v>78</v>
      </c>
      <c r="O649" s="531"/>
      <c r="P649" s="531" t="s">
        <v>78</v>
      </c>
      <c r="Q649" s="531" t="s">
        <v>78</v>
      </c>
      <c r="R649" s="531" t="s">
        <v>78</v>
      </c>
      <c r="S649" s="531" t="s">
        <v>78</v>
      </c>
    </row>
    <row r="650" spans="1:19" x14ac:dyDescent="0.35">
      <c r="A650" t="s">
        <v>452</v>
      </c>
      <c r="B650">
        <v>1925440</v>
      </c>
      <c r="C650">
        <v>17000</v>
      </c>
      <c r="D650" t="s">
        <v>78</v>
      </c>
      <c r="E650" t="s">
        <v>422</v>
      </c>
      <c r="F650" t="s">
        <v>78</v>
      </c>
      <c r="G650" t="s">
        <v>78</v>
      </c>
      <c r="H650" t="s">
        <v>78</v>
      </c>
      <c r="I650" t="s">
        <v>78</v>
      </c>
      <c r="J650" t="s">
        <v>78</v>
      </c>
      <c r="K650" t="s">
        <v>78</v>
      </c>
      <c r="L650" t="s">
        <v>78</v>
      </c>
      <c r="M650" t="s">
        <v>166</v>
      </c>
      <c r="N650" t="s">
        <v>78</v>
      </c>
      <c r="P650" t="s">
        <v>78</v>
      </c>
      <c r="Q650" t="s">
        <v>78</v>
      </c>
      <c r="R650" t="s">
        <v>78</v>
      </c>
      <c r="S650" t="s">
        <v>78</v>
      </c>
    </row>
    <row r="651" spans="1:19" x14ac:dyDescent="0.35">
      <c r="A651" t="s">
        <v>452</v>
      </c>
      <c r="B651">
        <v>1248720</v>
      </c>
      <c r="C651">
        <v>17000</v>
      </c>
      <c r="D651" t="s">
        <v>78</v>
      </c>
      <c r="E651" t="s">
        <v>415</v>
      </c>
      <c r="F651" t="s">
        <v>78</v>
      </c>
      <c r="G651" t="s">
        <v>78</v>
      </c>
      <c r="H651" t="s">
        <v>78</v>
      </c>
      <c r="I651" t="s">
        <v>78</v>
      </c>
      <c r="J651" t="s">
        <v>78</v>
      </c>
      <c r="K651" t="s">
        <v>78</v>
      </c>
      <c r="L651" t="s">
        <v>78</v>
      </c>
      <c r="M651" t="s">
        <v>166</v>
      </c>
      <c r="N651" t="s">
        <v>78</v>
      </c>
      <c r="O651" t="s">
        <v>78</v>
      </c>
      <c r="P651" t="s">
        <v>78</v>
      </c>
      <c r="Q651" t="s">
        <v>78</v>
      </c>
      <c r="R651" t="s">
        <v>78</v>
      </c>
      <c r="S651" t="s">
        <v>78</v>
      </c>
    </row>
    <row r="652" spans="1:19" x14ac:dyDescent="0.35">
      <c r="A652" s="530" t="s">
        <v>453</v>
      </c>
      <c r="B652" s="530">
        <v>1581400</v>
      </c>
      <c r="C652" s="530">
        <v>17000</v>
      </c>
      <c r="D652" s="530" t="s">
        <v>78</v>
      </c>
      <c r="E652" s="530" t="s">
        <v>439</v>
      </c>
      <c r="F652" s="530" t="s">
        <v>78</v>
      </c>
      <c r="G652" s="530" t="s">
        <v>78</v>
      </c>
      <c r="H652" s="530" t="s">
        <v>78</v>
      </c>
      <c r="I652" s="530" t="s">
        <v>78</v>
      </c>
      <c r="J652" s="530" t="s">
        <v>78</v>
      </c>
      <c r="K652" s="530" t="s">
        <v>78</v>
      </c>
      <c r="L652" s="530" t="s">
        <v>78</v>
      </c>
      <c r="M652" s="530" t="s">
        <v>279</v>
      </c>
      <c r="N652" s="530" t="s">
        <v>78</v>
      </c>
      <c r="O652" s="530"/>
      <c r="P652" s="530" t="s">
        <v>78</v>
      </c>
      <c r="Q652" s="530" t="s">
        <v>78</v>
      </c>
      <c r="R652" s="530" t="s">
        <v>78</v>
      </c>
      <c r="S652" s="530" t="s">
        <v>78</v>
      </c>
    </row>
    <row r="653" spans="1:19" x14ac:dyDescent="0.35">
      <c r="A653" t="s">
        <v>453</v>
      </c>
      <c r="B653">
        <v>2057840</v>
      </c>
      <c r="C653">
        <v>17000</v>
      </c>
      <c r="D653" t="s">
        <v>78</v>
      </c>
      <c r="E653" t="s">
        <v>422</v>
      </c>
      <c r="F653" t="s">
        <v>78</v>
      </c>
      <c r="G653" t="s">
        <v>78</v>
      </c>
      <c r="H653" t="s">
        <v>78</v>
      </c>
      <c r="I653" t="s">
        <v>78</v>
      </c>
      <c r="J653" t="s">
        <v>78</v>
      </c>
      <c r="K653" t="s">
        <v>78</v>
      </c>
      <c r="L653" t="s">
        <v>78</v>
      </c>
      <c r="M653" t="s">
        <v>209</v>
      </c>
      <c r="N653" t="s">
        <v>78</v>
      </c>
      <c r="P653" t="s">
        <v>78</v>
      </c>
      <c r="Q653" t="s">
        <v>78</v>
      </c>
      <c r="R653" t="s">
        <v>78</v>
      </c>
      <c r="S653" t="s">
        <v>78</v>
      </c>
    </row>
    <row r="654" spans="1:19" x14ac:dyDescent="0.35">
      <c r="A654" t="s">
        <v>453</v>
      </c>
      <c r="B654">
        <v>1534800</v>
      </c>
      <c r="C654">
        <v>17000</v>
      </c>
      <c r="D654" t="s">
        <v>78</v>
      </c>
      <c r="E654" t="s">
        <v>347</v>
      </c>
      <c r="F654" t="s">
        <v>78</v>
      </c>
      <c r="G654" t="s">
        <v>78</v>
      </c>
      <c r="H654" t="s">
        <v>78</v>
      </c>
      <c r="I654" t="s">
        <v>78</v>
      </c>
      <c r="J654" t="s">
        <v>78</v>
      </c>
      <c r="K654" t="s">
        <v>78</v>
      </c>
      <c r="L654" t="s">
        <v>78</v>
      </c>
      <c r="M654" t="s">
        <v>164</v>
      </c>
      <c r="N654" t="s">
        <v>78</v>
      </c>
      <c r="O654" t="s">
        <v>78</v>
      </c>
      <c r="P654" t="s">
        <v>78</v>
      </c>
      <c r="Q654" t="s">
        <v>78</v>
      </c>
      <c r="R654" t="s">
        <v>78</v>
      </c>
      <c r="S654" t="s">
        <v>78</v>
      </c>
    </row>
    <row r="655" spans="1:19" x14ac:dyDescent="0.35">
      <c r="A655" s="531" t="s">
        <v>454</v>
      </c>
      <c r="B655" s="531">
        <v>1632640</v>
      </c>
      <c r="C655" s="531">
        <v>17000</v>
      </c>
      <c r="D655" s="531" t="s">
        <v>78</v>
      </c>
      <c r="E655" s="531" t="s">
        <v>420</v>
      </c>
      <c r="F655" s="531" t="s">
        <v>78</v>
      </c>
      <c r="G655" s="531" t="s">
        <v>78</v>
      </c>
      <c r="H655" s="531" t="s">
        <v>78</v>
      </c>
      <c r="I655" s="531" t="s">
        <v>78</v>
      </c>
      <c r="J655" s="531" t="s">
        <v>78</v>
      </c>
      <c r="K655" s="531" t="s">
        <v>78</v>
      </c>
      <c r="L655" s="531" t="s">
        <v>78</v>
      </c>
      <c r="M655" s="531" t="s">
        <v>166</v>
      </c>
      <c r="N655" s="531" t="s">
        <v>78</v>
      </c>
      <c r="O655" s="531"/>
      <c r="P655" s="531" t="s">
        <v>78</v>
      </c>
      <c r="Q655" s="531" t="s">
        <v>78</v>
      </c>
      <c r="R655" s="531" t="s">
        <v>78</v>
      </c>
      <c r="S655" s="531" t="s">
        <v>78</v>
      </c>
    </row>
    <row r="656" spans="1:19" x14ac:dyDescent="0.35">
      <c r="A656" t="s">
        <v>454</v>
      </c>
      <c r="B656">
        <v>2069080</v>
      </c>
      <c r="C656">
        <v>17000</v>
      </c>
      <c r="D656" t="s">
        <v>78</v>
      </c>
      <c r="E656" t="s">
        <v>344</v>
      </c>
      <c r="F656" t="s">
        <v>78</v>
      </c>
      <c r="G656" t="s">
        <v>78</v>
      </c>
      <c r="H656" t="s">
        <v>78</v>
      </c>
      <c r="I656" t="s">
        <v>78</v>
      </c>
      <c r="J656" t="s">
        <v>78</v>
      </c>
      <c r="K656" t="s">
        <v>78</v>
      </c>
      <c r="L656" t="s">
        <v>78</v>
      </c>
      <c r="M656" t="s">
        <v>279</v>
      </c>
      <c r="N656" t="s">
        <v>78</v>
      </c>
      <c r="P656" t="s">
        <v>78</v>
      </c>
      <c r="Q656" t="s">
        <v>78</v>
      </c>
      <c r="R656" t="s">
        <v>78</v>
      </c>
      <c r="S656" t="s">
        <v>78</v>
      </c>
    </row>
    <row r="657" spans="1:19" x14ac:dyDescent="0.35">
      <c r="A657" t="s">
        <v>454</v>
      </c>
      <c r="B657">
        <v>1648160</v>
      </c>
      <c r="C657">
        <v>17000</v>
      </c>
      <c r="D657" t="s">
        <v>78</v>
      </c>
      <c r="E657" t="s">
        <v>415</v>
      </c>
      <c r="F657" t="s">
        <v>78</v>
      </c>
      <c r="G657" t="s">
        <v>78</v>
      </c>
      <c r="H657" t="s">
        <v>78</v>
      </c>
      <c r="I657" t="s">
        <v>78</v>
      </c>
      <c r="J657" t="s">
        <v>78</v>
      </c>
      <c r="K657" t="s">
        <v>78</v>
      </c>
      <c r="L657" t="s">
        <v>78</v>
      </c>
      <c r="M657" t="s">
        <v>160</v>
      </c>
      <c r="N657" t="s">
        <v>78</v>
      </c>
      <c r="O657" t="s">
        <v>78</v>
      </c>
      <c r="P657" t="s">
        <v>78</v>
      </c>
      <c r="Q657" t="s">
        <v>78</v>
      </c>
      <c r="R657" t="s">
        <v>78</v>
      </c>
      <c r="S657" t="s">
        <v>78</v>
      </c>
    </row>
    <row r="658" spans="1:19" x14ac:dyDescent="0.35">
      <c r="A658" s="531" t="s">
        <v>139</v>
      </c>
      <c r="B658" s="531">
        <v>802520</v>
      </c>
      <c r="C658" s="531">
        <v>17000</v>
      </c>
      <c r="D658" s="531" t="s">
        <v>78</v>
      </c>
      <c r="E658" s="531" t="s">
        <v>344</v>
      </c>
      <c r="F658" s="531" t="s">
        <v>78</v>
      </c>
      <c r="G658" s="531" t="s">
        <v>78</v>
      </c>
      <c r="H658" s="531" t="s">
        <v>78</v>
      </c>
      <c r="I658" s="531" t="s">
        <v>78</v>
      </c>
      <c r="J658" s="531" t="s">
        <v>78</v>
      </c>
      <c r="K658" s="531" t="s">
        <v>78</v>
      </c>
      <c r="L658" s="531" t="s">
        <v>78</v>
      </c>
      <c r="M658" s="531" t="s">
        <v>193</v>
      </c>
      <c r="N658" s="531" t="s">
        <v>78</v>
      </c>
      <c r="O658" s="531"/>
      <c r="P658" s="531" t="s">
        <v>78</v>
      </c>
      <c r="Q658" s="531" t="s">
        <v>78</v>
      </c>
      <c r="R658" s="531" t="s">
        <v>78</v>
      </c>
      <c r="S658" s="531" t="s">
        <v>78</v>
      </c>
    </row>
    <row r="659" spans="1:19" x14ac:dyDescent="0.35">
      <c r="A659" s="530" t="s">
        <v>139</v>
      </c>
      <c r="B659" s="530">
        <v>746680</v>
      </c>
      <c r="C659" s="530">
        <v>17000</v>
      </c>
      <c r="D659" s="530" t="s">
        <v>78</v>
      </c>
      <c r="E659" s="530" t="s">
        <v>420</v>
      </c>
      <c r="F659" s="530" t="s">
        <v>78</v>
      </c>
      <c r="G659" s="530" t="s">
        <v>78</v>
      </c>
      <c r="H659" s="530" t="s">
        <v>78</v>
      </c>
      <c r="I659" s="530" t="s">
        <v>78</v>
      </c>
      <c r="J659" s="530" t="s">
        <v>78</v>
      </c>
      <c r="K659" s="530" t="s">
        <v>78</v>
      </c>
      <c r="L659" s="530" t="s">
        <v>78</v>
      </c>
      <c r="M659" s="530" t="s">
        <v>278</v>
      </c>
      <c r="N659" s="530" t="s">
        <v>78</v>
      </c>
      <c r="O659" s="530"/>
      <c r="P659" s="530" t="s">
        <v>78</v>
      </c>
      <c r="Q659" s="530" t="s">
        <v>78</v>
      </c>
      <c r="R659" s="530" t="s">
        <v>78</v>
      </c>
      <c r="S659" s="530" t="s">
        <v>78</v>
      </c>
    </row>
    <row r="660" spans="1:19" x14ac:dyDescent="0.35">
      <c r="A660" s="531" t="s">
        <v>139</v>
      </c>
      <c r="B660" s="531">
        <v>465520</v>
      </c>
      <c r="C660" s="531">
        <v>17000</v>
      </c>
      <c r="D660" s="531" t="s">
        <v>78</v>
      </c>
      <c r="E660" s="531" t="s">
        <v>346</v>
      </c>
      <c r="F660" s="531" t="s">
        <v>78</v>
      </c>
      <c r="G660" s="531" t="s">
        <v>78</v>
      </c>
      <c r="H660" s="531" t="s">
        <v>78</v>
      </c>
      <c r="I660" s="531" t="s">
        <v>78</v>
      </c>
      <c r="J660" s="531" t="s">
        <v>78</v>
      </c>
      <c r="K660" s="531" t="s">
        <v>78</v>
      </c>
      <c r="L660" s="531" t="s">
        <v>78</v>
      </c>
      <c r="M660" s="531" t="s">
        <v>164</v>
      </c>
      <c r="N660" s="531" t="s">
        <v>78</v>
      </c>
      <c r="O660" s="531"/>
      <c r="P660" s="531" t="s">
        <v>78</v>
      </c>
      <c r="Q660" s="531" t="s">
        <v>78</v>
      </c>
      <c r="R660" s="531" t="s">
        <v>78</v>
      </c>
      <c r="S660" s="531" t="s">
        <v>78</v>
      </c>
    </row>
    <row r="661" spans="1:19" x14ac:dyDescent="0.35">
      <c r="A661" t="s">
        <v>139</v>
      </c>
      <c r="B661">
        <v>347240</v>
      </c>
      <c r="C661">
        <v>17000</v>
      </c>
      <c r="D661" t="s">
        <v>78</v>
      </c>
      <c r="E661" t="s">
        <v>415</v>
      </c>
      <c r="F661" t="s">
        <v>78</v>
      </c>
      <c r="G661" t="s">
        <v>78</v>
      </c>
      <c r="H661" t="s">
        <v>78</v>
      </c>
      <c r="I661" t="s">
        <v>78</v>
      </c>
      <c r="J661" t="s">
        <v>78</v>
      </c>
      <c r="K661" t="s">
        <v>78</v>
      </c>
      <c r="L661" t="s">
        <v>78</v>
      </c>
      <c r="M661" t="s">
        <v>166</v>
      </c>
      <c r="N661" t="s">
        <v>78</v>
      </c>
      <c r="P661" t="s">
        <v>78</v>
      </c>
      <c r="Q661" t="s">
        <v>78</v>
      </c>
      <c r="R661" t="s">
        <v>78</v>
      </c>
      <c r="S661" t="s">
        <v>78</v>
      </c>
    </row>
    <row r="662" spans="1:19" x14ac:dyDescent="0.35">
      <c r="A662" t="s">
        <v>139</v>
      </c>
      <c r="B662">
        <v>895640</v>
      </c>
      <c r="C662">
        <v>17000</v>
      </c>
      <c r="D662" t="s">
        <v>78</v>
      </c>
      <c r="E662" t="s">
        <v>376</v>
      </c>
      <c r="F662" t="s">
        <v>78</v>
      </c>
      <c r="G662" t="s">
        <v>78</v>
      </c>
      <c r="H662" t="s">
        <v>78</v>
      </c>
      <c r="I662" t="s">
        <v>78</v>
      </c>
      <c r="J662" t="s">
        <v>78</v>
      </c>
      <c r="K662" t="s">
        <v>78</v>
      </c>
      <c r="L662" t="s">
        <v>78</v>
      </c>
      <c r="M662" t="s">
        <v>169</v>
      </c>
      <c r="N662" t="s">
        <v>78</v>
      </c>
      <c r="O662" t="s">
        <v>78</v>
      </c>
      <c r="P662" t="s">
        <v>78</v>
      </c>
      <c r="Q662" t="s">
        <v>78</v>
      </c>
      <c r="R662" t="s">
        <v>78</v>
      </c>
      <c r="S662" t="s">
        <v>78</v>
      </c>
    </row>
    <row r="663" spans="1:19" x14ac:dyDescent="0.35">
      <c r="A663" s="530" t="s">
        <v>491</v>
      </c>
      <c r="B663" s="530">
        <v>1654040</v>
      </c>
      <c r="C663" s="530">
        <v>17000</v>
      </c>
      <c r="D663" s="530" t="s">
        <v>78</v>
      </c>
      <c r="E663" s="530" t="s">
        <v>421</v>
      </c>
      <c r="F663" s="530" t="s">
        <v>78</v>
      </c>
      <c r="G663" s="530" t="s">
        <v>78</v>
      </c>
      <c r="H663" s="530" t="s">
        <v>78</v>
      </c>
      <c r="I663" s="530" t="s">
        <v>78</v>
      </c>
      <c r="J663" s="530" t="s">
        <v>78</v>
      </c>
      <c r="K663" s="530" t="s">
        <v>78</v>
      </c>
      <c r="L663" s="530" t="s">
        <v>78</v>
      </c>
      <c r="M663" s="530" t="s">
        <v>166</v>
      </c>
      <c r="N663" s="530" t="s">
        <v>78</v>
      </c>
      <c r="O663" s="530"/>
      <c r="P663" s="530" t="s">
        <v>78</v>
      </c>
      <c r="Q663" s="530" t="s">
        <v>78</v>
      </c>
      <c r="R663" s="530" t="s">
        <v>78</v>
      </c>
      <c r="S663" s="530" t="s">
        <v>78</v>
      </c>
    </row>
    <row r="664" spans="1:19" x14ac:dyDescent="0.35">
      <c r="A664" t="s">
        <v>491</v>
      </c>
      <c r="B664">
        <v>1712000</v>
      </c>
      <c r="C664">
        <v>17000</v>
      </c>
      <c r="D664" t="s">
        <v>78</v>
      </c>
      <c r="E664" t="s">
        <v>347</v>
      </c>
      <c r="F664" t="s">
        <v>78</v>
      </c>
      <c r="G664" t="s">
        <v>78</v>
      </c>
      <c r="H664" t="s">
        <v>78</v>
      </c>
      <c r="I664" t="s">
        <v>78</v>
      </c>
      <c r="J664" t="s">
        <v>78</v>
      </c>
      <c r="K664" t="s">
        <v>78</v>
      </c>
      <c r="L664" t="s">
        <v>78</v>
      </c>
      <c r="M664" t="s">
        <v>164</v>
      </c>
      <c r="N664" t="s">
        <v>78</v>
      </c>
      <c r="O664" t="s">
        <v>78</v>
      </c>
      <c r="P664" t="s">
        <v>78</v>
      </c>
      <c r="Q664" t="s">
        <v>78</v>
      </c>
      <c r="R664" t="s">
        <v>78</v>
      </c>
      <c r="S664" t="s">
        <v>78</v>
      </c>
    </row>
    <row r="665" spans="1:19" x14ac:dyDescent="0.35">
      <c r="A665" s="531" t="s">
        <v>490</v>
      </c>
      <c r="B665" s="531">
        <v>66480</v>
      </c>
      <c r="C665" s="531">
        <v>17000</v>
      </c>
      <c r="D665" s="531" t="s">
        <v>78</v>
      </c>
      <c r="E665" s="531" t="s">
        <v>415</v>
      </c>
      <c r="F665" s="531" t="s">
        <v>78</v>
      </c>
      <c r="G665" s="531" t="s">
        <v>78</v>
      </c>
      <c r="H665" s="531" t="s">
        <v>78</v>
      </c>
      <c r="I665" s="531" t="s">
        <v>78</v>
      </c>
      <c r="J665" s="531" t="s">
        <v>78</v>
      </c>
      <c r="K665" s="531" t="s">
        <v>78</v>
      </c>
      <c r="L665" s="531" t="s">
        <v>78</v>
      </c>
      <c r="M665" s="531" t="s">
        <v>169</v>
      </c>
      <c r="N665" s="531" t="s">
        <v>78</v>
      </c>
      <c r="O665" s="531"/>
      <c r="P665" s="531" t="s">
        <v>78</v>
      </c>
      <c r="Q665" s="531" t="s">
        <v>78</v>
      </c>
      <c r="R665" s="531" t="s">
        <v>78</v>
      </c>
      <c r="S665" s="531" t="s">
        <v>78</v>
      </c>
    </row>
    <row r="666" spans="1:19" x14ac:dyDescent="0.35">
      <c r="A666" t="s">
        <v>490</v>
      </c>
      <c r="B666">
        <v>1745480</v>
      </c>
      <c r="C666">
        <v>17000</v>
      </c>
      <c r="D666" t="s">
        <v>78</v>
      </c>
      <c r="E666" t="s">
        <v>377</v>
      </c>
      <c r="F666" t="s">
        <v>78</v>
      </c>
      <c r="G666" t="s">
        <v>78</v>
      </c>
      <c r="H666" t="s">
        <v>78</v>
      </c>
      <c r="I666" t="s">
        <v>78</v>
      </c>
      <c r="J666" t="s">
        <v>78</v>
      </c>
      <c r="K666" t="s">
        <v>78</v>
      </c>
      <c r="L666" t="s">
        <v>78</v>
      </c>
      <c r="M666" t="s">
        <v>164</v>
      </c>
      <c r="N666" t="s">
        <v>78</v>
      </c>
      <c r="O666" t="s">
        <v>78</v>
      </c>
      <c r="P666" t="s">
        <v>78</v>
      </c>
      <c r="Q666" t="s">
        <v>78</v>
      </c>
      <c r="R666" t="s">
        <v>78</v>
      </c>
      <c r="S666" t="s">
        <v>78</v>
      </c>
    </row>
    <row r="667" spans="1:19" x14ac:dyDescent="0.35">
      <c r="A667" s="530" t="s">
        <v>489</v>
      </c>
      <c r="B667" s="530">
        <v>199640</v>
      </c>
      <c r="C667" s="530">
        <v>17000</v>
      </c>
      <c r="D667" s="530" t="s">
        <v>78</v>
      </c>
      <c r="E667" s="530" t="s">
        <v>422</v>
      </c>
      <c r="F667" s="530" t="s">
        <v>78</v>
      </c>
      <c r="G667" s="530" t="s">
        <v>78</v>
      </c>
      <c r="H667" s="530" t="s">
        <v>78</v>
      </c>
      <c r="I667" s="530" t="s">
        <v>78</v>
      </c>
      <c r="J667" s="530" t="s">
        <v>78</v>
      </c>
      <c r="K667" s="530" t="s">
        <v>78</v>
      </c>
      <c r="L667" s="530" t="s">
        <v>78</v>
      </c>
      <c r="M667" s="530" t="s">
        <v>209</v>
      </c>
      <c r="N667" s="530" t="s">
        <v>78</v>
      </c>
      <c r="O667" s="530"/>
      <c r="P667" s="530" t="s">
        <v>78</v>
      </c>
      <c r="Q667" s="530" t="s">
        <v>78</v>
      </c>
      <c r="R667" s="530" t="s">
        <v>78</v>
      </c>
      <c r="S667" s="530" t="s">
        <v>78</v>
      </c>
    </row>
    <row r="668" spans="1:19" x14ac:dyDescent="0.35">
      <c r="A668" t="s">
        <v>489</v>
      </c>
      <c r="B668">
        <v>1745480</v>
      </c>
      <c r="C668">
        <v>17000</v>
      </c>
      <c r="D668" t="s">
        <v>78</v>
      </c>
      <c r="E668" t="s">
        <v>421</v>
      </c>
      <c r="F668" t="s">
        <v>78</v>
      </c>
      <c r="G668" t="s">
        <v>78</v>
      </c>
      <c r="H668" t="s">
        <v>78</v>
      </c>
      <c r="I668" t="s">
        <v>78</v>
      </c>
      <c r="J668" t="s">
        <v>78</v>
      </c>
      <c r="K668" t="s">
        <v>78</v>
      </c>
      <c r="L668" t="s">
        <v>78</v>
      </c>
      <c r="M668" t="s">
        <v>164</v>
      </c>
      <c r="N668" t="s">
        <v>78</v>
      </c>
      <c r="O668" t="s">
        <v>78</v>
      </c>
      <c r="P668" t="s">
        <v>78</v>
      </c>
      <c r="Q668" t="s">
        <v>78</v>
      </c>
      <c r="R668" t="s">
        <v>78</v>
      </c>
      <c r="S668" t="s">
        <v>78</v>
      </c>
    </row>
    <row r="669" spans="1:19" x14ac:dyDescent="0.35">
      <c r="A669" s="531" t="s">
        <v>488</v>
      </c>
      <c r="B669" s="531">
        <v>199640</v>
      </c>
      <c r="C669" s="531">
        <v>17000</v>
      </c>
      <c r="D669" s="531" t="s">
        <v>78</v>
      </c>
      <c r="E669" s="531" t="s">
        <v>415</v>
      </c>
      <c r="F669" s="531" t="s">
        <v>78</v>
      </c>
      <c r="G669" s="531" t="s">
        <v>78</v>
      </c>
      <c r="H669" s="531" t="s">
        <v>78</v>
      </c>
      <c r="I669" s="531" t="s">
        <v>78</v>
      </c>
      <c r="J669" s="531" t="s">
        <v>78</v>
      </c>
      <c r="K669" s="531" t="s">
        <v>78</v>
      </c>
      <c r="L669" s="531" t="s">
        <v>78</v>
      </c>
      <c r="M669" s="531" t="s">
        <v>169</v>
      </c>
      <c r="N669" s="531" t="s">
        <v>78</v>
      </c>
      <c r="O669" s="531"/>
      <c r="P669" s="531" t="s">
        <v>78</v>
      </c>
      <c r="Q669" s="531" t="s">
        <v>78</v>
      </c>
      <c r="R669" s="531" t="s">
        <v>78</v>
      </c>
      <c r="S669" s="531" t="s">
        <v>78</v>
      </c>
    </row>
    <row r="670" spans="1:19" x14ac:dyDescent="0.35">
      <c r="A670" t="s">
        <v>488</v>
      </c>
      <c r="B670">
        <v>150000</v>
      </c>
      <c r="C670">
        <v>17000</v>
      </c>
      <c r="D670" t="s">
        <v>78</v>
      </c>
      <c r="E670" t="s">
        <v>415</v>
      </c>
      <c r="F670" t="s">
        <v>78</v>
      </c>
      <c r="G670" t="s">
        <v>78</v>
      </c>
      <c r="H670" t="s">
        <v>78</v>
      </c>
      <c r="I670" t="s">
        <v>78</v>
      </c>
      <c r="J670" t="s">
        <v>78</v>
      </c>
      <c r="K670" t="s">
        <v>78</v>
      </c>
      <c r="L670" t="s">
        <v>78</v>
      </c>
      <c r="M670" t="s">
        <v>278</v>
      </c>
      <c r="N670" t="s">
        <v>78</v>
      </c>
      <c r="O670" t="s">
        <v>78</v>
      </c>
      <c r="P670" t="s">
        <v>78</v>
      </c>
      <c r="Q670" t="s">
        <v>78</v>
      </c>
      <c r="R670" t="s">
        <v>78</v>
      </c>
      <c r="S670" t="s">
        <v>78</v>
      </c>
    </row>
    <row r="671" spans="1:19" x14ac:dyDescent="0.35">
      <c r="A671" t="s">
        <v>631</v>
      </c>
      <c r="B671">
        <v>170120</v>
      </c>
      <c r="C671">
        <v>17000</v>
      </c>
      <c r="D671" t="s">
        <v>78</v>
      </c>
      <c r="E671" t="s">
        <v>376</v>
      </c>
      <c r="F671" t="s">
        <v>78</v>
      </c>
      <c r="G671" t="s">
        <v>78</v>
      </c>
      <c r="H671" t="s">
        <v>78</v>
      </c>
      <c r="I671" t="s">
        <v>78</v>
      </c>
      <c r="J671" t="s">
        <v>78</v>
      </c>
      <c r="K671" t="s">
        <v>78</v>
      </c>
      <c r="L671" t="s">
        <v>78</v>
      </c>
      <c r="M671" t="s">
        <v>166</v>
      </c>
      <c r="N671" t="s">
        <v>78</v>
      </c>
      <c r="O671" t="s">
        <v>78</v>
      </c>
      <c r="P671" t="s">
        <v>78</v>
      </c>
      <c r="Q671" t="s">
        <v>78</v>
      </c>
      <c r="R671" t="s">
        <v>78</v>
      </c>
      <c r="S671" t="s">
        <v>78</v>
      </c>
    </row>
    <row r="672" spans="1:19" x14ac:dyDescent="0.35">
      <c r="A672" t="s">
        <v>630</v>
      </c>
      <c r="B672">
        <v>192440</v>
      </c>
      <c r="C672">
        <v>17000</v>
      </c>
      <c r="D672" t="s">
        <v>78</v>
      </c>
      <c r="E672" t="s">
        <v>415</v>
      </c>
      <c r="F672" t="s">
        <v>78</v>
      </c>
      <c r="G672" t="s">
        <v>78</v>
      </c>
      <c r="H672" t="s">
        <v>78</v>
      </c>
      <c r="I672" t="s">
        <v>78</v>
      </c>
      <c r="J672" t="s">
        <v>78</v>
      </c>
      <c r="K672" t="s">
        <v>78</v>
      </c>
      <c r="L672" t="s">
        <v>78</v>
      </c>
      <c r="M672" t="s">
        <v>166</v>
      </c>
      <c r="N672" t="s">
        <v>78</v>
      </c>
      <c r="O672" t="s">
        <v>78</v>
      </c>
      <c r="P672" t="s">
        <v>78</v>
      </c>
      <c r="Q672" t="s">
        <v>78</v>
      </c>
      <c r="R672" t="s">
        <v>78</v>
      </c>
      <c r="S672" t="s">
        <v>78</v>
      </c>
    </row>
    <row r="673" spans="1:19" x14ac:dyDescent="0.35">
      <c r="A673" t="s">
        <v>629</v>
      </c>
      <c r="B673">
        <v>246400</v>
      </c>
      <c r="C673">
        <v>17000</v>
      </c>
      <c r="D673" t="s">
        <v>78</v>
      </c>
      <c r="E673" t="s">
        <v>376</v>
      </c>
      <c r="F673" t="s">
        <v>78</v>
      </c>
      <c r="G673" t="s">
        <v>78</v>
      </c>
      <c r="H673" t="s">
        <v>78</v>
      </c>
      <c r="I673" t="s">
        <v>78</v>
      </c>
      <c r="J673" t="s">
        <v>78</v>
      </c>
      <c r="K673" t="s">
        <v>78</v>
      </c>
      <c r="L673" t="s">
        <v>78</v>
      </c>
      <c r="M673" t="s">
        <v>193</v>
      </c>
      <c r="N673" t="s">
        <v>78</v>
      </c>
      <c r="O673" t="s">
        <v>78</v>
      </c>
      <c r="P673" t="s">
        <v>78</v>
      </c>
      <c r="Q673" t="s">
        <v>78</v>
      </c>
      <c r="R673" t="s">
        <v>78</v>
      </c>
      <c r="S673" t="s">
        <v>78</v>
      </c>
    </row>
    <row r="674" spans="1:19" x14ac:dyDescent="0.35">
      <c r="A674" t="s">
        <v>628</v>
      </c>
      <c r="B674">
        <v>281520</v>
      </c>
      <c r="C674">
        <v>17000</v>
      </c>
      <c r="D674" t="s">
        <v>78</v>
      </c>
      <c r="E674" t="s">
        <v>376</v>
      </c>
      <c r="F674" t="s">
        <v>78</v>
      </c>
      <c r="G674" t="s">
        <v>78</v>
      </c>
      <c r="H674" t="s">
        <v>78</v>
      </c>
      <c r="I674" t="s">
        <v>78</v>
      </c>
      <c r="J674" t="s">
        <v>78</v>
      </c>
      <c r="K674" t="s">
        <v>78</v>
      </c>
      <c r="L674" t="s">
        <v>78</v>
      </c>
      <c r="M674" t="s">
        <v>166</v>
      </c>
      <c r="N674" t="s">
        <v>78</v>
      </c>
      <c r="O674" t="s">
        <v>78</v>
      </c>
      <c r="P674" t="s">
        <v>78</v>
      </c>
      <c r="Q674" t="s">
        <v>78</v>
      </c>
      <c r="R674" t="s">
        <v>78</v>
      </c>
      <c r="S674" t="s">
        <v>78</v>
      </c>
    </row>
    <row r="675" spans="1:19" x14ac:dyDescent="0.35">
      <c r="A675" s="530" t="s">
        <v>168</v>
      </c>
      <c r="B675" s="530">
        <v>895480</v>
      </c>
      <c r="C675" s="530">
        <v>17000</v>
      </c>
      <c r="D675" s="530" t="s">
        <v>78</v>
      </c>
      <c r="E675" s="530" t="s">
        <v>415</v>
      </c>
      <c r="F675" s="530" t="s">
        <v>78</v>
      </c>
      <c r="G675" s="530" t="s">
        <v>78</v>
      </c>
      <c r="H675" s="530" t="s">
        <v>78</v>
      </c>
      <c r="I675" s="530" t="s">
        <v>78</v>
      </c>
      <c r="J675" s="530" t="s">
        <v>78</v>
      </c>
      <c r="K675" s="530" t="s">
        <v>78</v>
      </c>
      <c r="L675" s="530" t="s">
        <v>78</v>
      </c>
      <c r="M675" s="530" t="s">
        <v>278</v>
      </c>
      <c r="N675" s="530" t="s">
        <v>78</v>
      </c>
      <c r="O675" s="530"/>
      <c r="P675" s="530" t="s">
        <v>78</v>
      </c>
      <c r="Q675" s="530" t="s">
        <v>78</v>
      </c>
      <c r="R675" s="530" t="s">
        <v>78</v>
      </c>
      <c r="S675" s="530" t="s">
        <v>78</v>
      </c>
    </row>
    <row r="676" spans="1:19" x14ac:dyDescent="0.35">
      <c r="A676" s="531" t="s">
        <v>168</v>
      </c>
      <c r="B676" s="531">
        <v>746680</v>
      </c>
      <c r="C676" s="531">
        <v>17000</v>
      </c>
      <c r="D676" s="531" t="s">
        <v>78</v>
      </c>
      <c r="E676" s="531" t="s">
        <v>415</v>
      </c>
      <c r="F676" s="531" t="s">
        <v>78</v>
      </c>
      <c r="G676" s="531" t="s">
        <v>78</v>
      </c>
      <c r="H676" s="531" t="s">
        <v>78</v>
      </c>
      <c r="I676" s="531" t="s">
        <v>78</v>
      </c>
      <c r="J676" s="531" t="s">
        <v>78</v>
      </c>
      <c r="K676" s="531" t="s">
        <v>78</v>
      </c>
      <c r="L676" s="531" t="s">
        <v>78</v>
      </c>
      <c r="M676" s="531" t="s">
        <v>166</v>
      </c>
      <c r="N676" s="531" t="s">
        <v>78</v>
      </c>
      <c r="O676" s="531"/>
      <c r="P676" s="531" t="s">
        <v>78</v>
      </c>
      <c r="Q676" s="531" t="s">
        <v>78</v>
      </c>
      <c r="R676" s="531" t="s">
        <v>78</v>
      </c>
      <c r="S676" s="531" t="s">
        <v>78</v>
      </c>
    </row>
    <row r="677" spans="1:19" x14ac:dyDescent="0.35">
      <c r="A677" s="530" t="s">
        <v>168</v>
      </c>
      <c r="B677" s="530">
        <v>685200</v>
      </c>
      <c r="C677" s="530">
        <v>17000</v>
      </c>
      <c r="D677" s="530" t="s">
        <v>78</v>
      </c>
      <c r="E677" s="530" t="s">
        <v>346</v>
      </c>
      <c r="F677" s="530" t="s">
        <v>78</v>
      </c>
      <c r="G677" s="530" t="s">
        <v>78</v>
      </c>
      <c r="H677" s="530" t="s">
        <v>78</v>
      </c>
      <c r="I677" s="530" t="s">
        <v>78</v>
      </c>
      <c r="J677" s="530" t="s">
        <v>78</v>
      </c>
      <c r="K677" s="530" t="s">
        <v>78</v>
      </c>
      <c r="L677" s="530" t="s">
        <v>78</v>
      </c>
      <c r="M677" s="530" t="s">
        <v>193</v>
      </c>
      <c r="N677" s="530" t="s">
        <v>78</v>
      </c>
      <c r="O677" s="530"/>
      <c r="P677" s="530" t="s">
        <v>78</v>
      </c>
      <c r="Q677" s="530" t="s">
        <v>78</v>
      </c>
      <c r="R677" s="530" t="s">
        <v>78</v>
      </c>
      <c r="S677" s="530" t="s">
        <v>78</v>
      </c>
    </row>
    <row r="678" spans="1:19" x14ac:dyDescent="0.35">
      <c r="A678" t="s">
        <v>168</v>
      </c>
      <c r="B678">
        <v>626720</v>
      </c>
      <c r="C678">
        <v>17000</v>
      </c>
      <c r="D678" t="s">
        <v>78</v>
      </c>
      <c r="E678" t="s">
        <v>422</v>
      </c>
      <c r="F678" t="s">
        <v>78</v>
      </c>
      <c r="G678" t="s">
        <v>78</v>
      </c>
      <c r="H678" t="s">
        <v>78</v>
      </c>
      <c r="I678" t="s">
        <v>78</v>
      </c>
      <c r="J678" t="s">
        <v>78</v>
      </c>
      <c r="K678" t="s">
        <v>78</v>
      </c>
      <c r="L678" t="s">
        <v>78</v>
      </c>
      <c r="M678" t="s">
        <v>185</v>
      </c>
      <c r="N678" t="s">
        <v>78</v>
      </c>
      <c r="P678" t="s">
        <v>78</v>
      </c>
      <c r="Q678" t="s">
        <v>78</v>
      </c>
      <c r="R678" t="s">
        <v>78</v>
      </c>
      <c r="S678" t="s">
        <v>78</v>
      </c>
    </row>
    <row r="679" spans="1:19" x14ac:dyDescent="0.35">
      <c r="A679" t="s">
        <v>168</v>
      </c>
      <c r="B679">
        <v>1219760</v>
      </c>
      <c r="C679">
        <v>17000</v>
      </c>
      <c r="D679" t="s">
        <v>78</v>
      </c>
      <c r="E679" t="s">
        <v>376</v>
      </c>
      <c r="F679" t="s">
        <v>78</v>
      </c>
      <c r="G679" t="s">
        <v>78</v>
      </c>
      <c r="H679" t="s">
        <v>78</v>
      </c>
      <c r="I679" t="s">
        <v>78</v>
      </c>
      <c r="J679" t="s">
        <v>78</v>
      </c>
      <c r="K679" t="s">
        <v>78</v>
      </c>
      <c r="L679" t="s">
        <v>78</v>
      </c>
      <c r="M679" t="s">
        <v>193</v>
      </c>
      <c r="N679" t="s">
        <v>78</v>
      </c>
      <c r="O679" t="s">
        <v>78</v>
      </c>
      <c r="P679" t="s">
        <v>78</v>
      </c>
      <c r="Q679" t="s">
        <v>78</v>
      </c>
      <c r="R679" t="s">
        <v>78</v>
      </c>
      <c r="S679" t="s">
        <v>78</v>
      </c>
    </row>
    <row r="680" spans="1:19" x14ac:dyDescent="0.35">
      <c r="A680" s="531" t="s">
        <v>170</v>
      </c>
      <c r="B680" s="531">
        <v>1010440</v>
      </c>
      <c r="C680" s="531">
        <v>17000</v>
      </c>
      <c r="D680" s="531" t="s">
        <v>78</v>
      </c>
      <c r="E680" s="531" t="s">
        <v>422</v>
      </c>
      <c r="F680" s="531" t="s">
        <v>78</v>
      </c>
      <c r="G680" s="531" t="s">
        <v>78</v>
      </c>
      <c r="H680" s="531" t="s">
        <v>78</v>
      </c>
      <c r="I680" s="531" t="s">
        <v>78</v>
      </c>
      <c r="J680" s="531" t="s">
        <v>78</v>
      </c>
      <c r="K680" s="531" t="s">
        <v>78</v>
      </c>
      <c r="L680" s="531" t="s">
        <v>78</v>
      </c>
      <c r="M680" s="531" t="s">
        <v>193</v>
      </c>
      <c r="N680" s="531" t="s">
        <v>78</v>
      </c>
      <c r="O680" s="531"/>
      <c r="P680" s="531" t="s">
        <v>78</v>
      </c>
      <c r="Q680" s="531" t="s">
        <v>78</v>
      </c>
      <c r="R680" s="531" t="s">
        <v>78</v>
      </c>
      <c r="S680" s="531" t="s">
        <v>78</v>
      </c>
    </row>
    <row r="681" spans="1:19" x14ac:dyDescent="0.35">
      <c r="A681" s="531" t="s">
        <v>170</v>
      </c>
      <c r="B681" s="531">
        <v>762880</v>
      </c>
      <c r="C681" s="531">
        <v>17000</v>
      </c>
      <c r="D681" s="531" t="s">
        <v>78</v>
      </c>
      <c r="E681" s="531" t="s">
        <v>420</v>
      </c>
      <c r="F681" s="531" t="s">
        <v>78</v>
      </c>
      <c r="G681" s="531" t="s">
        <v>78</v>
      </c>
      <c r="H681" s="531" t="s">
        <v>78</v>
      </c>
      <c r="I681" s="531" t="s">
        <v>78</v>
      </c>
      <c r="J681" s="531" t="s">
        <v>78</v>
      </c>
      <c r="K681" s="531" t="s">
        <v>78</v>
      </c>
      <c r="L681" s="531" t="s">
        <v>78</v>
      </c>
      <c r="M681" s="531" t="s">
        <v>160</v>
      </c>
      <c r="N681" s="531" t="s">
        <v>78</v>
      </c>
      <c r="O681" s="531"/>
      <c r="P681" s="531" t="s">
        <v>78</v>
      </c>
      <c r="Q681" s="531" t="s">
        <v>78</v>
      </c>
      <c r="R681" s="531" t="s">
        <v>78</v>
      </c>
      <c r="S681" s="531" t="s">
        <v>78</v>
      </c>
    </row>
    <row r="682" spans="1:19" x14ac:dyDescent="0.35">
      <c r="A682" s="530" t="s">
        <v>170</v>
      </c>
      <c r="B682" s="530">
        <v>753040</v>
      </c>
      <c r="C682" s="530">
        <v>17000</v>
      </c>
      <c r="D682" s="530" t="s">
        <v>78</v>
      </c>
      <c r="E682" s="530" t="s">
        <v>346</v>
      </c>
      <c r="F682" s="530" t="s">
        <v>78</v>
      </c>
      <c r="G682" s="530" t="s">
        <v>78</v>
      </c>
      <c r="H682" s="530" t="s">
        <v>78</v>
      </c>
      <c r="I682" s="530" t="s">
        <v>78</v>
      </c>
      <c r="J682" s="530" t="s">
        <v>78</v>
      </c>
      <c r="K682" s="530" t="s">
        <v>78</v>
      </c>
      <c r="L682" s="530" t="s">
        <v>78</v>
      </c>
      <c r="M682" s="530" t="s">
        <v>193</v>
      </c>
      <c r="N682" s="530" t="s">
        <v>78</v>
      </c>
      <c r="O682" s="530"/>
      <c r="P682" s="530" t="s">
        <v>78</v>
      </c>
      <c r="Q682" s="530" t="s">
        <v>78</v>
      </c>
      <c r="R682" s="530" t="s">
        <v>78</v>
      </c>
      <c r="S682" s="530" t="s">
        <v>78</v>
      </c>
    </row>
    <row r="683" spans="1:19" x14ac:dyDescent="0.35">
      <c r="A683" t="s">
        <v>170</v>
      </c>
      <c r="B683">
        <v>664920</v>
      </c>
      <c r="C683">
        <v>17000</v>
      </c>
      <c r="D683" t="s">
        <v>78</v>
      </c>
      <c r="E683" t="s">
        <v>415</v>
      </c>
      <c r="F683" t="s">
        <v>78</v>
      </c>
      <c r="G683" t="s">
        <v>78</v>
      </c>
      <c r="H683" t="s">
        <v>78</v>
      </c>
      <c r="I683" t="s">
        <v>78</v>
      </c>
      <c r="J683" t="s">
        <v>78</v>
      </c>
      <c r="K683" t="s">
        <v>78</v>
      </c>
      <c r="L683" t="s">
        <v>78</v>
      </c>
      <c r="M683" t="s">
        <v>166</v>
      </c>
      <c r="N683" t="s">
        <v>78</v>
      </c>
      <c r="P683" t="s">
        <v>78</v>
      </c>
      <c r="Q683" t="s">
        <v>78</v>
      </c>
      <c r="R683" t="s">
        <v>78</v>
      </c>
      <c r="S683" t="s">
        <v>78</v>
      </c>
    </row>
    <row r="684" spans="1:19" x14ac:dyDescent="0.35">
      <c r="A684" t="s">
        <v>170</v>
      </c>
      <c r="B684">
        <v>1219760</v>
      </c>
      <c r="C684">
        <v>17000</v>
      </c>
      <c r="D684" t="s">
        <v>78</v>
      </c>
      <c r="E684" t="s">
        <v>439</v>
      </c>
      <c r="F684" t="s">
        <v>78</v>
      </c>
      <c r="G684" t="s">
        <v>78</v>
      </c>
      <c r="H684" t="s">
        <v>78</v>
      </c>
      <c r="I684" t="s">
        <v>78</v>
      </c>
      <c r="J684" t="s">
        <v>78</v>
      </c>
      <c r="K684" t="s">
        <v>78</v>
      </c>
      <c r="L684" t="s">
        <v>78</v>
      </c>
      <c r="M684" t="s">
        <v>193</v>
      </c>
      <c r="N684" t="s">
        <v>78</v>
      </c>
      <c r="O684" t="s">
        <v>78</v>
      </c>
      <c r="P684" t="s">
        <v>78</v>
      </c>
      <c r="Q684" t="s">
        <v>78</v>
      </c>
      <c r="R684" t="s">
        <v>78</v>
      </c>
      <c r="S684" t="s">
        <v>78</v>
      </c>
    </row>
    <row r="685" spans="1:19" x14ac:dyDescent="0.35">
      <c r="A685" s="530" t="s">
        <v>176</v>
      </c>
      <c r="B685" s="530">
        <v>1097880</v>
      </c>
      <c r="C685" s="530">
        <v>17000</v>
      </c>
      <c r="D685" s="530" t="s">
        <v>78</v>
      </c>
      <c r="E685" s="530" t="s">
        <v>439</v>
      </c>
      <c r="F685" s="530" t="s">
        <v>78</v>
      </c>
      <c r="G685" s="530" t="s">
        <v>78</v>
      </c>
      <c r="H685" s="530" t="s">
        <v>78</v>
      </c>
      <c r="I685" s="530" t="s">
        <v>78</v>
      </c>
      <c r="J685" s="530" t="s">
        <v>78</v>
      </c>
      <c r="K685" s="530" t="s">
        <v>78</v>
      </c>
      <c r="L685" s="530" t="s">
        <v>78</v>
      </c>
      <c r="M685" s="530" t="s">
        <v>278</v>
      </c>
      <c r="N685" s="530" t="s">
        <v>78</v>
      </c>
      <c r="O685" s="530"/>
      <c r="P685" s="530" t="s">
        <v>78</v>
      </c>
      <c r="Q685" s="530" t="s">
        <v>78</v>
      </c>
      <c r="R685" s="530" t="s">
        <v>78</v>
      </c>
      <c r="S685" s="530" t="s">
        <v>78</v>
      </c>
    </row>
    <row r="686" spans="1:19" x14ac:dyDescent="0.35">
      <c r="A686" s="530" t="s">
        <v>176</v>
      </c>
      <c r="B686" s="530">
        <v>927320</v>
      </c>
      <c r="C686" s="530">
        <v>17000</v>
      </c>
      <c r="D686" s="530" t="s">
        <v>78</v>
      </c>
      <c r="E686" s="530" t="s">
        <v>415</v>
      </c>
      <c r="F686" s="530" t="s">
        <v>78</v>
      </c>
      <c r="G686" s="530" t="s">
        <v>78</v>
      </c>
      <c r="H686" s="530" t="s">
        <v>78</v>
      </c>
      <c r="I686" s="530" t="s">
        <v>78</v>
      </c>
      <c r="J686" s="530" t="s">
        <v>78</v>
      </c>
      <c r="K686" s="530" t="s">
        <v>78</v>
      </c>
      <c r="L686" s="530" t="s">
        <v>78</v>
      </c>
      <c r="M686" s="530" t="s">
        <v>166</v>
      </c>
      <c r="N686" s="530" t="s">
        <v>78</v>
      </c>
      <c r="O686" s="530"/>
      <c r="P686" s="530" t="s">
        <v>78</v>
      </c>
      <c r="Q686" s="530" t="s">
        <v>78</v>
      </c>
      <c r="R686" s="530" t="s">
        <v>78</v>
      </c>
      <c r="S686" s="530" t="s">
        <v>78</v>
      </c>
    </row>
    <row r="687" spans="1:19" x14ac:dyDescent="0.35">
      <c r="A687" s="531" t="s">
        <v>176</v>
      </c>
      <c r="B687" s="531">
        <v>776000</v>
      </c>
      <c r="C687" s="531">
        <v>17000</v>
      </c>
      <c r="D687" s="531" t="s">
        <v>78</v>
      </c>
      <c r="E687" s="531" t="s">
        <v>415</v>
      </c>
      <c r="F687" s="531" t="s">
        <v>78</v>
      </c>
      <c r="G687" s="531" t="s">
        <v>78</v>
      </c>
      <c r="H687" s="531" t="s">
        <v>78</v>
      </c>
      <c r="I687" s="531" t="s">
        <v>78</v>
      </c>
      <c r="J687" s="531" t="s">
        <v>78</v>
      </c>
      <c r="K687" s="531" t="s">
        <v>78</v>
      </c>
      <c r="L687" s="531" t="s">
        <v>78</v>
      </c>
      <c r="M687" s="531" t="s">
        <v>169</v>
      </c>
      <c r="N687" s="531" t="s">
        <v>78</v>
      </c>
      <c r="O687" s="531"/>
      <c r="P687" s="531" t="s">
        <v>78</v>
      </c>
      <c r="Q687" s="531" t="s">
        <v>78</v>
      </c>
      <c r="R687" s="531" t="s">
        <v>78</v>
      </c>
      <c r="S687" s="531" t="s">
        <v>78</v>
      </c>
    </row>
    <row r="688" spans="1:19" x14ac:dyDescent="0.35">
      <c r="A688" t="s">
        <v>176</v>
      </c>
      <c r="B688">
        <v>751160</v>
      </c>
      <c r="C688">
        <v>17000</v>
      </c>
      <c r="D688" t="s">
        <v>78</v>
      </c>
      <c r="E688" t="s">
        <v>562</v>
      </c>
      <c r="F688" t="s">
        <v>78</v>
      </c>
      <c r="G688" t="s">
        <v>78</v>
      </c>
      <c r="H688" t="s">
        <v>78</v>
      </c>
      <c r="I688" t="s">
        <v>78</v>
      </c>
      <c r="J688" t="s">
        <v>78</v>
      </c>
      <c r="K688" t="s">
        <v>78</v>
      </c>
      <c r="L688" t="s">
        <v>78</v>
      </c>
      <c r="M688" t="s">
        <v>166</v>
      </c>
      <c r="N688" t="s">
        <v>78</v>
      </c>
      <c r="P688" t="s">
        <v>78</v>
      </c>
      <c r="Q688" t="s">
        <v>78</v>
      </c>
      <c r="R688" t="s">
        <v>78</v>
      </c>
      <c r="S688" t="s">
        <v>78</v>
      </c>
    </row>
    <row r="689" spans="1:19" x14ac:dyDescent="0.35">
      <c r="A689" t="s">
        <v>176</v>
      </c>
      <c r="B689">
        <v>1770240</v>
      </c>
      <c r="C689">
        <v>17000</v>
      </c>
      <c r="D689" t="s">
        <v>78</v>
      </c>
      <c r="E689" t="s">
        <v>344</v>
      </c>
      <c r="F689" t="s">
        <v>78</v>
      </c>
      <c r="G689" t="s">
        <v>78</v>
      </c>
      <c r="H689" t="s">
        <v>78</v>
      </c>
      <c r="I689" t="s">
        <v>78</v>
      </c>
      <c r="J689" t="s">
        <v>78</v>
      </c>
      <c r="K689" t="s">
        <v>78</v>
      </c>
      <c r="L689" t="s">
        <v>78</v>
      </c>
      <c r="M689" t="s">
        <v>164</v>
      </c>
      <c r="N689" t="s">
        <v>78</v>
      </c>
      <c r="O689" t="s">
        <v>78</v>
      </c>
      <c r="P689" t="s">
        <v>78</v>
      </c>
      <c r="Q689" t="s">
        <v>78</v>
      </c>
      <c r="R689" t="s">
        <v>78</v>
      </c>
      <c r="S689" t="s">
        <v>78</v>
      </c>
    </row>
    <row r="690" spans="1:19" x14ac:dyDescent="0.35">
      <c r="A690" s="531" t="s">
        <v>177</v>
      </c>
      <c r="B690" s="531">
        <v>1097880</v>
      </c>
      <c r="C690" s="531">
        <v>17000</v>
      </c>
      <c r="D690" s="531" t="s">
        <v>78</v>
      </c>
      <c r="E690" s="531" t="s">
        <v>422</v>
      </c>
      <c r="F690" s="531" t="s">
        <v>78</v>
      </c>
      <c r="G690" s="531" t="s">
        <v>78</v>
      </c>
      <c r="H690" s="531" t="s">
        <v>78</v>
      </c>
      <c r="I690" s="531" t="s">
        <v>78</v>
      </c>
      <c r="J690" s="531" t="s">
        <v>78</v>
      </c>
      <c r="K690" s="531" t="s">
        <v>78</v>
      </c>
      <c r="L690" s="531" t="s">
        <v>78</v>
      </c>
      <c r="M690" s="531" t="s">
        <v>279</v>
      </c>
      <c r="N690" s="531" t="s">
        <v>78</v>
      </c>
      <c r="O690" s="531"/>
      <c r="P690" s="531" t="s">
        <v>78</v>
      </c>
      <c r="Q690" s="531" t="s">
        <v>78</v>
      </c>
      <c r="R690" s="531" t="s">
        <v>78</v>
      </c>
      <c r="S690" s="531" t="s">
        <v>78</v>
      </c>
    </row>
    <row r="691" spans="1:19" x14ac:dyDescent="0.35">
      <c r="A691" s="531" t="s">
        <v>177</v>
      </c>
      <c r="B691" s="531">
        <v>1198760</v>
      </c>
      <c r="C691" s="531">
        <v>17000</v>
      </c>
      <c r="D691" s="531" t="s">
        <v>78</v>
      </c>
      <c r="E691" s="531" t="s">
        <v>415</v>
      </c>
      <c r="F691" s="531" t="s">
        <v>78</v>
      </c>
      <c r="G691" s="531" t="s">
        <v>78</v>
      </c>
      <c r="H691" s="531" t="s">
        <v>78</v>
      </c>
      <c r="I691" s="531" t="s">
        <v>78</v>
      </c>
      <c r="J691" s="531" t="s">
        <v>78</v>
      </c>
      <c r="K691" s="531" t="s">
        <v>78</v>
      </c>
      <c r="L691" s="531" t="s">
        <v>78</v>
      </c>
      <c r="M691" s="531" t="s">
        <v>166</v>
      </c>
      <c r="N691" s="531" t="s">
        <v>78</v>
      </c>
      <c r="O691" s="531"/>
      <c r="P691" s="531" t="s">
        <v>78</v>
      </c>
      <c r="Q691" s="531" t="s">
        <v>78</v>
      </c>
      <c r="R691" s="531" t="s">
        <v>78</v>
      </c>
      <c r="S691" s="531" t="s">
        <v>78</v>
      </c>
    </row>
    <row r="692" spans="1:19" x14ac:dyDescent="0.35">
      <c r="A692" s="531" t="s">
        <v>177</v>
      </c>
      <c r="B692" s="531">
        <v>1166000</v>
      </c>
      <c r="C692" s="531">
        <v>17000</v>
      </c>
      <c r="D692" s="531" t="s">
        <v>78</v>
      </c>
      <c r="E692" s="531" t="s">
        <v>376</v>
      </c>
      <c r="F692" s="531" t="s">
        <v>78</v>
      </c>
      <c r="G692" s="531" t="s">
        <v>78</v>
      </c>
      <c r="H692" s="531" t="s">
        <v>78</v>
      </c>
      <c r="I692" s="531" t="s">
        <v>78</v>
      </c>
      <c r="J692" s="531" t="s">
        <v>78</v>
      </c>
      <c r="K692" s="531" t="s">
        <v>78</v>
      </c>
      <c r="L692" s="531" t="s">
        <v>78</v>
      </c>
      <c r="M692" s="531" t="s">
        <v>164</v>
      </c>
      <c r="N692" s="531" t="s">
        <v>78</v>
      </c>
      <c r="O692" s="531"/>
      <c r="P692" s="531" t="s">
        <v>78</v>
      </c>
      <c r="Q692" s="531" t="s">
        <v>78</v>
      </c>
      <c r="R692" s="531" t="s">
        <v>78</v>
      </c>
      <c r="S692" s="531" t="s">
        <v>78</v>
      </c>
    </row>
    <row r="693" spans="1:19" x14ac:dyDescent="0.35">
      <c r="A693" t="s">
        <v>177</v>
      </c>
      <c r="B693">
        <v>823160</v>
      </c>
      <c r="C693">
        <v>17000</v>
      </c>
      <c r="D693" t="s">
        <v>78</v>
      </c>
      <c r="E693" t="s">
        <v>439</v>
      </c>
      <c r="F693" t="s">
        <v>78</v>
      </c>
      <c r="G693" t="s">
        <v>78</v>
      </c>
      <c r="H693" t="s">
        <v>78</v>
      </c>
      <c r="I693" t="s">
        <v>78</v>
      </c>
      <c r="J693" t="s">
        <v>78</v>
      </c>
      <c r="K693" t="s">
        <v>78</v>
      </c>
      <c r="L693" t="s">
        <v>78</v>
      </c>
      <c r="M693" t="s">
        <v>166</v>
      </c>
      <c r="N693" t="s">
        <v>78</v>
      </c>
      <c r="P693" t="s">
        <v>78</v>
      </c>
      <c r="Q693" t="s">
        <v>78</v>
      </c>
      <c r="R693" t="s">
        <v>78</v>
      </c>
      <c r="S693" t="s">
        <v>78</v>
      </c>
    </row>
    <row r="694" spans="1:19" x14ac:dyDescent="0.35">
      <c r="A694" t="s">
        <v>177</v>
      </c>
      <c r="B694">
        <v>123000</v>
      </c>
      <c r="C694">
        <v>17000</v>
      </c>
      <c r="D694" t="s">
        <v>78</v>
      </c>
      <c r="E694" t="s">
        <v>348</v>
      </c>
      <c r="F694" t="s">
        <v>78</v>
      </c>
      <c r="G694" t="s">
        <v>78</v>
      </c>
      <c r="H694" t="s">
        <v>78</v>
      </c>
      <c r="I694" t="s">
        <v>78</v>
      </c>
      <c r="J694" t="s">
        <v>78</v>
      </c>
      <c r="K694" t="s">
        <v>78</v>
      </c>
      <c r="L694" t="s">
        <v>78</v>
      </c>
      <c r="M694" t="s">
        <v>185</v>
      </c>
      <c r="N694" t="s">
        <v>78</v>
      </c>
      <c r="O694" t="s">
        <v>78</v>
      </c>
      <c r="P694" t="s">
        <v>78</v>
      </c>
      <c r="Q694" t="s">
        <v>78</v>
      </c>
      <c r="R694" t="s">
        <v>78</v>
      </c>
      <c r="S694" t="s">
        <v>78</v>
      </c>
    </row>
    <row r="695" spans="1:19" x14ac:dyDescent="0.35">
      <c r="A695" s="530" t="s">
        <v>181</v>
      </c>
      <c r="B695" s="530">
        <v>1332600</v>
      </c>
      <c r="C695" s="530">
        <v>17000</v>
      </c>
      <c r="D695" s="530" t="s">
        <v>78</v>
      </c>
      <c r="E695" s="530" t="s">
        <v>415</v>
      </c>
      <c r="F695" s="530" t="s">
        <v>78</v>
      </c>
      <c r="G695" s="530" t="s">
        <v>78</v>
      </c>
      <c r="H695" s="530" t="s">
        <v>78</v>
      </c>
      <c r="I695" s="530" t="s">
        <v>78</v>
      </c>
      <c r="J695" s="530" t="s">
        <v>78</v>
      </c>
      <c r="K695" s="530" t="s">
        <v>78</v>
      </c>
      <c r="L695" s="530" t="s">
        <v>78</v>
      </c>
      <c r="M695" s="530" t="s">
        <v>279</v>
      </c>
      <c r="N695" s="530" t="s">
        <v>78</v>
      </c>
      <c r="O695" s="530"/>
      <c r="P695" s="530" t="s">
        <v>78</v>
      </c>
      <c r="Q695" s="530" t="s">
        <v>78</v>
      </c>
      <c r="R695" s="530" t="s">
        <v>78</v>
      </c>
      <c r="S695" s="530" t="s">
        <v>78</v>
      </c>
    </row>
    <row r="696" spans="1:19" x14ac:dyDescent="0.35">
      <c r="A696" s="531" t="s">
        <v>181</v>
      </c>
      <c r="B696" s="531">
        <v>1514360</v>
      </c>
      <c r="C696" s="531">
        <v>17000</v>
      </c>
      <c r="D696" s="531" t="s">
        <v>78</v>
      </c>
      <c r="E696" s="531" t="s">
        <v>344</v>
      </c>
      <c r="F696" s="531" t="s">
        <v>78</v>
      </c>
      <c r="G696" s="531" t="s">
        <v>78</v>
      </c>
      <c r="H696" s="531" t="s">
        <v>78</v>
      </c>
      <c r="I696" s="531" t="s">
        <v>78</v>
      </c>
      <c r="J696" s="531" t="s">
        <v>78</v>
      </c>
      <c r="K696" s="531" t="s">
        <v>78</v>
      </c>
      <c r="L696" s="531" t="s">
        <v>78</v>
      </c>
      <c r="M696" s="531" t="s">
        <v>164</v>
      </c>
      <c r="N696" s="531" t="s">
        <v>78</v>
      </c>
      <c r="O696" s="531"/>
      <c r="P696" s="531" t="s">
        <v>78</v>
      </c>
      <c r="Q696" s="531" t="s">
        <v>78</v>
      </c>
      <c r="R696" s="531" t="s">
        <v>78</v>
      </c>
      <c r="S696" s="531" t="s">
        <v>78</v>
      </c>
    </row>
    <row r="697" spans="1:19" x14ac:dyDescent="0.35">
      <c r="A697" s="531" t="s">
        <v>181</v>
      </c>
      <c r="B697" s="531">
        <v>1281120</v>
      </c>
      <c r="C697" s="531">
        <v>17000</v>
      </c>
      <c r="D697" s="531" t="s">
        <v>78</v>
      </c>
      <c r="E697" s="531" t="s">
        <v>421</v>
      </c>
      <c r="F697" s="531" t="s">
        <v>78</v>
      </c>
      <c r="G697" s="531" t="s">
        <v>78</v>
      </c>
      <c r="H697" s="531" t="s">
        <v>78</v>
      </c>
      <c r="I697" s="531" t="s">
        <v>78</v>
      </c>
      <c r="J697" s="531" t="s">
        <v>78</v>
      </c>
      <c r="K697" s="531" t="s">
        <v>78</v>
      </c>
      <c r="L697" s="531" t="s">
        <v>78</v>
      </c>
      <c r="M697" s="531" t="s">
        <v>193</v>
      </c>
      <c r="N697" s="531" t="s">
        <v>78</v>
      </c>
      <c r="O697" s="531"/>
      <c r="P697" s="531" t="s">
        <v>78</v>
      </c>
      <c r="Q697" s="531" t="s">
        <v>78</v>
      </c>
      <c r="R697" s="531" t="s">
        <v>78</v>
      </c>
      <c r="S697" s="531" t="s">
        <v>78</v>
      </c>
    </row>
    <row r="698" spans="1:19" x14ac:dyDescent="0.35">
      <c r="A698" t="s">
        <v>181</v>
      </c>
      <c r="B698">
        <v>1189720</v>
      </c>
      <c r="C698">
        <v>17000</v>
      </c>
      <c r="D698" t="s">
        <v>78</v>
      </c>
      <c r="E698" t="s">
        <v>344</v>
      </c>
      <c r="F698" t="s">
        <v>78</v>
      </c>
      <c r="G698" t="s">
        <v>78</v>
      </c>
      <c r="H698" t="s">
        <v>78</v>
      </c>
      <c r="I698" t="s">
        <v>78</v>
      </c>
      <c r="J698" t="s">
        <v>78</v>
      </c>
      <c r="K698" t="s">
        <v>78</v>
      </c>
      <c r="L698" t="s">
        <v>78</v>
      </c>
      <c r="M698" t="s">
        <v>166</v>
      </c>
      <c r="N698" t="s">
        <v>78</v>
      </c>
      <c r="P698" t="s">
        <v>78</v>
      </c>
      <c r="Q698" t="s">
        <v>78</v>
      </c>
      <c r="R698" t="s">
        <v>78</v>
      </c>
      <c r="S698" t="s">
        <v>78</v>
      </c>
    </row>
    <row r="699" spans="1:19" x14ac:dyDescent="0.35">
      <c r="A699" t="s">
        <v>181</v>
      </c>
      <c r="B699">
        <v>123000</v>
      </c>
      <c r="C699">
        <v>17000</v>
      </c>
      <c r="D699" t="s">
        <v>78</v>
      </c>
      <c r="E699" t="s">
        <v>344</v>
      </c>
      <c r="F699" t="s">
        <v>78</v>
      </c>
      <c r="G699" t="s">
        <v>78</v>
      </c>
      <c r="H699" t="s">
        <v>78</v>
      </c>
      <c r="I699" t="s">
        <v>78</v>
      </c>
      <c r="J699" t="s">
        <v>78</v>
      </c>
      <c r="K699" t="s">
        <v>78</v>
      </c>
      <c r="L699" t="s">
        <v>78</v>
      </c>
      <c r="M699" t="s">
        <v>164</v>
      </c>
      <c r="N699" t="s">
        <v>78</v>
      </c>
      <c r="O699" t="s">
        <v>78</v>
      </c>
      <c r="P699" t="s">
        <v>78</v>
      </c>
      <c r="Q699" t="s">
        <v>78</v>
      </c>
      <c r="R699" t="s">
        <v>78</v>
      </c>
      <c r="S699" t="s">
        <v>78</v>
      </c>
    </row>
    <row r="700" spans="1:19" x14ac:dyDescent="0.35">
      <c r="A700" s="531" t="s">
        <v>182</v>
      </c>
      <c r="B700" s="531">
        <v>1332600</v>
      </c>
      <c r="C700" s="531">
        <v>17000</v>
      </c>
      <c r="D700" s="531" t="s">
        <v>78</v>
      </c>
      <c r="E700" s="531" t="s">
        <v>439</v>
      </c>
      <c r="F700" s="531" t="s">
        <v>78</v>
      </c>
      <c r="G700" s="531" t="s">
        <v>78</v>
      </c>
      <c r="H700" s="531" t="s">
        <v>78</v>
      </c>
      <c r="I700" s="531" t="s">
        <v>78</v>
      </c>
      <c r="J700" s="531" t="s">
        <v>78</v>
      </c>
      <c r="K700" s="531" t="s">
        <v>78</v>
      </c>
      <c r="L700" s="531" t="s">
        <v>78</v>
      </c>
      <c r="M700" s="531" t="s">
        <v>279</v>
      </c>
      <c r="N700" s="531" t="s">
        <v>78</v>
      </c>
      <c r="O700" s="531"/>
      <c r="P700" s="531" t="s">
        <v>78</v>
      </c>
      <c r="Q700" s="531" t="s">
        <v>78</v>
      </c>
      <c r="R700" s="531" t="s">
        <v>78</v>
      </c>
      <c r="S700" s="531" t="s">
        <v>78</v>
      </c>
    </row>
    <row r="701" spans="1:19" x14ac:dyDescent="0.35">
      <c r="A701" s="530" t="s">
        <v>182</v>
      </c>
      <c r="B701" s="530">
        <v>1527720</v>
      </c>
      <c r="C701" s="530">
        <v>17000</v>
      </c>
      <c r="D701" s="530" t="s">
        <v>78</v>
      </c>
      <c r="E701" s="530" t="s">
        <v>420</v>
      </c>
      <c r="F701" s="530" t="s">
        <v>78</v>
      </c>
      <c r="G701" s="530" t="s">
        <v>78</v>
      </c>
      <c r="H701" s="530" t="s">
        <v>78</v>
      </c>
      <c r="I701" s="530" t="s">
        <v>78</v>
      </c>
      <c r="J701" s="530" t="s">
        <v>78</v>
      </c>
      <c r="K701" s="530" t="s">
        <v>78</v>
      </c>
      <c r="L701" s="530" t="s">
        <v>78</v>
      </c>
      <c r="M701" s="530" t="s">
        <v>278</v>
      </c>
      <c r="N701" s="530" t="s">
        <v>78</v>
      </c>
      <c r="O701" s="530"/>
      <c r="P701" s="530" t="s">
        <v>78</v>
      </c>
      <c r="Q701" s="530" t="s">
        <v>78</v>
      </c>
      <c r="R701" s="530" t="s">
        <v>78</v>
      </c>
      <c r="S701" s="530" t="s">
        <v>78</v>
      </c>
    </row>
    <row r="702" spans="1:19" x14ac:dyDescent="0.35">
      <c r="A702" s="530" t="s">
        <v>182</v>
      </c>
      <c r="B702" s="530">
        <v>1457880</v>
      </c>
      <c r="C702" s="530">
        <v>17000</v>
      </c>
      <c r="D702" s="530" t="s">
        <v>78</v>
      </c>
      <c r="E702" s="530" t="s">
        <v>562</v>
      </c>
      <c r="F702" s="530" t="s">
        <v>78</v>
      </c>
      <c r="G702" s="530" t="s">
        <v>78</v>
      </c>
      <c r="H702" s="530" t="s">
        <v>78</v>
      </c>
      <c r="I702" s="530" t="s">
        <v>78</v>
      </c>
      <c r="J702" s="530" t="s">
        <v>78</v>
      </c>
      <c r="K702" s="530" t="s">
        <v>78</v>
      </c>
      <c r="L702" s="530" t="s">
        <v>78</v>
      </c>
      <c r="M702" s="530" t="s">
        <v>278</v>
      </c>
      <c r="N702" s="530" t="s">
        <v>78</v>
      </c>
      <c r="O702" s="530"/>
      <c r="P702" s="530" t="s">
        <v>78</v>
      </c>
      <c r="Q702" s="530" t="s">
        <v>78</v>
      </c>
      <c r="R702" s="530" t="s">
        <v>78</v>
      </c>
      <c r="S702" s="530" t="s">
        <v>78</v>
      </c>
    </row>
    <row r="703" spans="1:19" x14ac:dyDescent="0.35">
      <c r="A703" t="s">
        <v>182</v>
      </c>
      <c r="B703">
        <v>1258760</v>
      </c>
      <c r="C703">
        <v>17000</v>
      </c>
      <c r="D703" t="s">
        <v>78</v>
      </c>
      <c r="E703" t="s">
        <v>377</v>
      </c>
      <c r="F703" t="s">
        <v>78</v>
      </c>
      <c r="G703" t="s">
        <v>78</v>
      </c>
      <c r="H703" t="s">
        <v>78</v>
      </c>
      <c r="I703" t="s">
        <v>78</v>
      </c>
      <c r="J703" t="s">
        <v>78</v>
      </c>
      <c r="K703" t="s">
        <v>78</v>
      </c>
      <c r="L703" t="s">
        <v>78</v>
      </c>
      <c r="M703" t="s">
        <v>278</v>
      </c>
      <c r="N703" t="s">
        <v>78</v>
      </c>
      <c r="P703" t="s">
        <v>78</v>
      </c>
      <c r="Q703" t="s">
        <v>78</v>
      </c>
      <c r="R703" t="s">
        <v>78</v>
      </c>
      <c r="S703" t="s">
        <v>78</v>
      </c>
    </row>
    <row r="704" spans="1:19" x14ac:dyDescent="0.35">
      <c r="A704" t="s">
        <v>182</v>
      </c>
      <c r="B704">
        <v>298320</v>
      </c>
      <c r="C704">
        <v>17000</v>
      </c>
      <c r="D704" t="s">
        <v>78</v>
      </c>
      <c r="E704" t="s">
        <v>415</v>
      </c>
      <c r="F704" t="s">
        <v>78</v>
      </c>
      <c r="G704" t="s">
        <v>78</v>
      </c>
      <c r="H704" t="s">
        <v>78</v>
      </c>
      <c r="I704" t="s">
        <v>78</v>
      </c>
      <c r="J704" t="s">
        <v>78</v>
      </c>
      <c r="K704" t="s">
        <v>78</v>
      </c>
      <c r="L704" t="s">
        <v>78</v>
      </c>
      <c r="M704" t="s">
        <v>278</v>
      </c>
      <c r="N704" t="s">
        <v>78</v>
      </c>
      <c r="O704" t="s">
        <v>78</v>
      </c>
      <c r="P704" t="s">
        <v>78</v>
      </c>
      <c r="Q704" t="s">
        <v>78</v>
      </c>
      <c r="R704" t="s">
        <v>78</v>
      </c>
      <c r="S704" t="s">
        <v>78</v>
      </c>
    </row>
    <row r="705" spans="1:19" x14ac:dyDescent="0.35">
      <c r="A705" s="530" t="s">
        <v>483</v>
      </c>
      <c r="B705" s="530">
        <v>867040</v>
      </c>
      <c r="C705" s="530">
        <v>7000</v>
      </c>
      <c r="D705" s="530"/>
      <c r="E705" s="530" t="s">
        <v>343</v>
      </c>
      <c r="F705" s="530" t="s">
        <v>11</v>
      </c>
      <c r="G705" s="530" t="s">
        <v>296</v>
      </c>
      <c r="H705" s="531" t="s">
        <v>483</v>
      </c>
      <c r="I705" s="530" t="s">
        <v>78</v>
      </c>
      <c r="J705" s="530" t="s">
        <v>78</v>
      </c>
      <c r="K705" s="530" t="s">
        <v>78</v>
      </c>
      <c r="L705" s="530" t="s">
        <v>78</v>
      </c>
      <c r="M705" s="530" t="s">
        <v>78</v>
      </c>
      <c r="N705" s="530" t="s">
        <v>78</v>
      </c>
      <c r="O705" s="530"/>
      <c r="P705" s="530" t="s">
        <v>78</v>
      </c>
      <c r="Q705" s="530" t="s">
        <v>78</v>
      </c>
      <c r="R705" s="530" t="s">
        <v>78</v>
      </c>
      <c r="S705" s="530" t="s">
        <v>78</v>
      </c>
    </row>
    <row r="706" spans="1:19" x14ac:dyDescent="0.35">
      <c r="A706" s="530" t="s">
        <v>487</v>
      </c>
      <c r="B706" s="530">
        <v>1605200</v>
      </c>
      <c r="C706" s="530">
        <v>16160</v>
      </c>
      <c r="D706" s="530" t="s">
        <v>78</v>
      </c>
      <c r="E706" s="530" t="s">
        <v>78</v>
      </c>
      <c r="F706" s="530" t="s">
        <v>13</v>
      </c>
      <c r="G706" s="530" t="s">
        <v>78</v>
      </c>
      <c r="H706" s="530" t="s">
        <v>483</v>
      </c>
      <c r="I706" s="530" t="s">
        <v>78</v>
      </c>
      <c r="J706" s="530" t="s">
        <v>78</v>
      </c>
      <c r="K706" s="530" t="s">
        <v>78</v>
      </c>
      <c r="L706" s="530" t="s">
        <v>78</v>
      </c>
      <c r="M706" s="530" t="s">
        <v>78</v>
      </c>
      <c r="N706" s="530" t="s">
        <v>78</v>
      </c>
      <c r="O706" s="530"/>
      <c r="P706" s="530" t="s">
        <v>78</v>
      </c>
      <c r="Q706" s="530" t="s">
        <v>78</v>
      </c>
      <c r="R706" s="530" t="s">
        <v>78</v>
      </c>
      <c r="S706" s="530" t="s">
        <v>78</v>
      </c>
    </row>
    <row r="707" spans="1:19" x14ac:dyDescent="0.35">
      <c r="A707" s="530" t="s">
        <v>487</v>
      </c>
      <c r="B707" s="530">
        <v>858880</v>
      </c>
      <c r="C707" s="530">
        <v>15160</v>
      </c>
      <c r="D707" s="530" t="s">
        <v>78</v>
      </c>
      <c r="E707" s="530" t="s">
        <v>343</v>
      </c>
      <c r="F707" s="530" t="s">
        <v>280</v>
      </c>
      <c r="G707" s="530" t="s">
        <v>308</v>
      </c>
      <c r="H707" s="530" t="s">
        <v>483</v>
      </c>
      <c r="I707" s="530" t="s">
        <v>78</v>
      </c>
      <c r="J707" s="530" t="s">
        <v>78</v>
      </c>
      <c r="K707" s="530" t="s">
        <v>78</v>
      </c>
      <c r="L707" s="530" t="s">
        <v>78</v>
      </c>
      <c r="M707" s="530" t="s">
        <v>78</v>
      </c>
      <c r="N707" s="530" t="s">
        <v>78</v>
      </c>
      <c r="O707" s="530"/>
      <c r="P707" s="530" t="s">
        <v>78</v>
      </c>
      <c r="Q707" s="530" t="s">
        <v>78</v>
      </c>
      <c r="R707" s="530" t="s">
        <v>78</v>
      </c>
      <c r="S707" s="530" t="s">
        <v>78</v>
      </c>
    </row>
    <row r="708" spans="1:19" x14ac:dyDescent="0.35">
      <c r="A708" s="531" t="s">
        <v>487</v>
      </c>
      <c r="B708" s="531">
        <v>2208200</v>
      </c>
      <c r="C708" s="531">
        <v>7000</v>
      </c>
      <c r="D708" s="531" t="s">
        <v>78</v>
      </c>
      <c r="E708" s="531" t="s">
        <v>413</v>
      </c>
      <c r="F708" s="531" t="s">
        <v>11</v>
      </c>
      <c r="G708" s="531" t="s">
        <v>302</v>
      </c>
      <c r="H708" s="531" t="s">
        <v>483</v>
      </c>
      <c r="I708" s="531" t="s">
        <v>78</v>
      </c>
      <c r="J708" s="531" t="s">
        <v>78</v>
      </c>
      <c r="K708" s="531" t="s">
        <v>78</v>
      </c>
      <c r="L708" s="531" t="s">
        <v>78</v>
      </c>
      <c r="M708" s="531" t="s">
        <v>78</v>
      </c>
      <c r="N708" s="531" t="s">
        <v>78</v>
      </c>
      <c r="O708" s="531"/>
      <c r="P708" s="531" t="s">
        <v>78</v>
      </c>
      <c r="Q708" s="531" t="s">
        <v>78</v>
      </c>
      <c r="R708" s="531" t="s">
        <v>78</v>
      </c>
      <c r="S708" s="531" t="s">
        <v>78</v>
      </c>
    </row>
    <row r="709" spans="1:19" x14ac:dyDescent="0.35">
      <c r="A709" t="s">
        <v>487</v>
      </c>
      <c r="B709">
        <v>684200</v>
      </c>
      <c r="C709">
        <v>23600</v>
      </c>
      <c r="D709" t="s">
        <v>78</v>
      </c>
      <c r="E709" t="s">
        <v>343</v>
      </c>
      <c r="F709" t="s">
        <v>83</v>
      </c>
      <c r="G709" t="s">
        <v>308</v>
      </c>
      <c r="H709" t="s">
        <v>483</v>
      </c>
      <c r="I709" t="s">
        <v>78</v>
      </c>
      <c r="J709" t="s">
        <v>78</v>
      </c>
      <c r="K709" t="s">
        <v>78</v>
      </c>
      <c r="L709" t="s">
        <v>78</v>
      </c>
      <c r="M709" t="s">
        <v>78</v>
      </c>
      <c r="N709" t="s">
        <v>78</v>
      </c>
      <c r="O709" t="s">
        <v>78</v>
      </c>
      <c r="P709" t="s">
        <v>78</v>
      </c>
      <c r="Q709" t="s">
        <v>78</v>
      </c>
      <c r="R709" t="s">
        <v>78</v>
      </c>
      <c r="S709" t="s">
        <v>78</v>
      </c>
    </row>
    <row r="710" spans="1:19" x14ac:dyDescent="0.35">
      <c r="A710" s="531" t="s">
        <v>486</v>
      </c>
      <c r="B710" s="531">
        <v>1621720</v>
      </c>
      <c r="C710" s="531">
        <v>11280</v>
      </c>
      <c r="D710" s="531" t="s">
        <v>78</v>
      </c>
      <c r="E710" s="531" t="s">
        <v>343</v>
      </c>
      <c r="F710" s="531" t="s">
        <v>83</v>
      </c>
      <c r="G710" s="531" t="s">
        <v>308</v>
      </c>
      <c r="H710" s="531" t="s">
        <v>483</v>
      </c>
      <c r="I710" s="531" t="s">
        <v>78</v>
      </c>
      <c r="J710" s="531" t="s">
        <v>78</v>
      </c>
      <c r="K710" s="531" t="s">
        <v>78</v>
      </c>
      <c r="L710" s="531" t="s">
        <v>78</v>
      </c>
      <c r="M710" s="531" t="s">
        <v>78</v>
      </c>
      <c r="N710" s="531" t="s">
        <v>78</v>
      </c>
      <c r="O710" s="531"/>
      <c r="P710" s="531" t="s">
        <v>78</v>
      </c>
      <c r="Q710" s="531" t="s">
        <v>78</v>
      </c>
      <c r="R710" s="531" t="s">
        <v>78</v>
      </c>
      <c r="S710" s="531" t="s">
        <v>78</v>
      </c>
    </row>
    <row r="711" spans="1:19" x14ac:dyDescent="0.35">
      <c r="A711" s="530" t="s">
        <v>486</v>
      </c>
      <c r="B711" s="530">
        <v>938320</v>
      </c>
      <c r="C711" s="530">
        <v>12960</v>
      </c>
      <c r="D711" s="530" t="s">
        <v>78</v>
      </c>
      <c r="E711" s="530" t="s">
        <v>343</v>
      </c>
      <c r="F711" s="530" t="s">
        <v>11</v>
      </c>
      <c r="G711" s="530" t="s">
        <v>308</v>
      </c>
      <c r="H711" s="530" t="s">
        <v>483</v>
      </c>
      <c r="I711" s="530" t="s">
        <v>78</v>
      </c>
      <c r="J711" s="530" t="s">
        <v>78</v>
      </c>
      <c r="K711" s="530" t="s">
        <v>78</v>
      </c>
      <c r="L711" s="530" t="s">
        <v>78</v>
      </c>
      <c r="M711" s="530" t="s">
        <v>78</v>
      </c>
      <c r="N711" s="530" t="s">
        <v>78</v>
      </c>
      <c r="O711" s="530"/>
      <c r="P711" s="530" t="s">
        <v>78</v>
      </c>
      <c r="Q711" s="530" t="s">
        <v>78</v>
      </c>
      <c r="R711" s="530" t="s">
        <v>78</v>
      </c>
      <c r="S711" s="530" t="s">
        <v>78</v>
      </c>
    </row>
    <row r="712" spans="1:19" x14ac:dyDescent="0.35">
      <c r="A712" s="530" t="s">
        <v>486</v>
      </c>
      <c r="B712" s="530">
        <v>2237400</v>
      </c>
      <c r="C712" s="530">
        <v>15080</v>
      </c>
      <c r="D712" s="530" t="s">
        <v>78</v>
      </c>
      <c r="E712" s="530" t="s">
        <v>78</v>
      </c>
      <c r="F712" s="530" t="s">
        <v>79</v>
      </c>
      <c r="G712" s="530" t="s">
        <v>78</v>
      </c>
      <c r="H712" s="530" t="s">
        <v>483</v>
      </c>
      <c r="I712" s="530" t="s">
        <v>78</v>
      </c>
      <c r="J712" s="530" t="s">
        <v>78</v>
      </c>
      <c r="K712" s="530" t="s">
        <v>78</v>
      </c>
      <c r="L712" s="530" t="s">
        <v>78</v>
      </c>
      <c r="M712" s="530" t="s">
        <v>78</v>
      </c>
      <c r="N712" s="530" t="s">
        <v>78</v>
      </c>
      <c r="O712" s="530"/>
      <c r="P712" s="530" t="s">
        <v>78</v>
      </c>
      <c r="Q712" s="530" t="s">
        <v>78</v>
      </c>
      <c r="R712" s="530" t="s">
        <v>78</v>
      </c>
      <c r="S712" s="530" t="s">
        <v>78</v>
      </c>
    </row>
    <row r="713" spans="1:19" x14ac:dyDescent="0.35">
      <c r="A713" t="s">
        <v>486</v>
      </c>
      <c r="B713">
        <v>729360</v>
      </c>
      <c r="C713">
        <v>32000</v>
      </c>
      <c r="D713" t="s">
        <v>78</v>
      </c>
      <c r="E713" t="s">
        <v>343</v>
      </c>
      <c r="F713" t="s">
        <v>10</v>
      </c>
      <c r="G713" t="s">
        <v>305</v>
      </c>
      <c r="H713" t="s">
        <v>483</v>
      </c>
      <c r="I713" t="s">
        <v>78</v>
      </c>
      <c r="J713" t="s">
        <v>78</v>
      </c>
      <c r="K713" t="s">
        <v>78</v>
      </c>
      <c r="L713" t="s">
        <v>78</v>
      </c>
      <c r="M713" t="s">
        <v>78</v>
      </c>
      <c r="N713" t="s">
        <v>78</v>
      </c>
      <c r="O713" t="s">
        <v>78</v>
      </c>
      <c r="P713" t="s">
        <v>78</v>
      </c>
      <c r="Q713" t="s">
        <v>78</v>
      </c>
      <c r="R713" t="s">
        <v>78</v>
      </c>
      <c r="S713" t="s">
        <v>78</v>
      </c>
    </row>
    <row r="714" spans="1:19" x14ac:dyDescent="0.35">
      <c r="A714" s="530" t="s">
        <v>485</v>
      </c>
      <c r="B714" s="530">
        <v>1667040</v>
      </c>
      <c r="C714" s="530">
        <v>28080</v>
      </c>
      <c r="D714" s="530" t="s">
        <v>78</v>
      </c>
      <c r="E714" s="530" t="s">
        <v>78</v>
      </c>
      <c r="F714" s="530" t="s">
        <v>13</v>
      </c>
      <c r="G714" s="530" t="s">
        <v>78</v>
      </c>
      <c r="H714" s="530" t="s">
        <v>483</v>
      </c>
      <c r="I714" s="530" t="s">
        <v>78</v>
      </c>
      <c r="J714" s="530" t="s">
        <v>78</v>
      </c>
      <c r="K714" s="530" t="s">
        <v>78</v>
      </c>
      <c r="L714" s="530" t="s">
        <v>78</v>
      </c>
      <c r="M714" s="530" t="s">
        <v>78</v>
      </c>
      <c r="N714" s="530" t="s">
        <v>78</v>
      </c>
      <c r="O714" s="530"/>
      <c r="P714" s="530" t="s">
        <v>78</v>
      </c>
      <c r="Q714" s="530" t="s">
        <v>78</v>
      </c>
      <c r="R714" s="530" t="s">
        <v>78</v>
      </c>
      <c r="S714" s="530" t="s">
        <v>78</v>
      </c>
    </row>
    <row r="715" spans="1:19" x14ac:dyDescent="0.35">
      <c r="A715" s="531" t="s">
        <v>485</v>
      </c>
      <c r="B715" s="531">
        <v>1858400</v>
      </c>
      <c r="C715" s="531">
        <v>15080</v>
      </c>
      <c r="D715" s="531" t="s">
        <v>78</v>
      </c>
      <c r="E715" s="531" t="s">
        <v>78</v>
      </c>
      <c r="F715" s="531" t="s">
        <v>13</v>
      </c>
      <c r="G715" s="531" t="s">
        <v>78</v>
      </c>
      <c r="H715" s="531" t="s">
        <v>483</v>
      </c>
      <c r="I715" s="531" t="s">
        <v>78</v>
      </c>
      <c r="J715" s="531" t="s">
        <v>78</v>
      </c>
      <c r="K715" s="531" t="s">
        <v>78</v>
      </c>
      <c r="L715" s="531" t="s">
        <v>78</v>
      </c>
      <c r="M715" s="531" t="s">
        <v>78</v>
      </c>
      <c r="N715" s="531" t="s">
        <v>78</v>
      </c>
      <c r="O715" s="531"/>
      <c r="P715" s="531" t="s">
        <v>78</v>
      </c>
      <c r="Q715" s="531" t="s">
        <v>78</v>
      </c>
      <c r="R715" s="531" t="s">
        <v>78</v>
      </c>
      <c r="S715" s="531" t="s">
        <v>78</v>
      </c>
    </row>
    <row r="716" spans="1:19" x14ac:dyDescent="0.35">
      <c r="A716" t="s">
        <v>485</v>
      </c>
      <c r="B716">
        <v>790480</v>
      </c>
      <c r="C716">
        <v>12920</v>
      </c>
      <c r="D716" t="s">
        <v>78</v>
      </c>
      <c r="E716" t="s">
        <v>343</v>
      </c>
      <c r="F716" t="s">
        <v>11</v>
      </c>
      <c r="G716" t="s">
        <v>283</v>
      </c>
      <c r="H716" t="s">
        <v>483</v>
      </c>
      <c r="I716" t="s">
        <v>78</v>
      </c>
      <c r="J716" t="s">
        <v>78</v>
      </c>
      <c r="K716" t="s">
        <v>78</v>
      </c>
      <c r="L716" t="s">
        <v>78</v>
      </c>
      <c r="M716" t="s">
        <v>78</v>
      </c>
      <c r="N716" t="s">
        <v>78</v>
      </c>
      <c r="O716" t="s">
        <v>78</v>
      </c>
      <c r="P716" t="s">
        <v>78</v>
      </c>
      <c r="Q716" t="s">
        <v>78</v>
      </c>
      <c r="R716" t="s">
        <v>78</v>
      </c>
      <c r="S716" t="s">
        <v>78</v>
      </c>
    </row>
    <row r="717" spans="1:19" x14ac:dyDescent="0.35">
      <c r="A717" s="531" t="s">
        <v>484</v>
      </c>
      <c r="B717" s="531">
        <v>1691920</v>
      </c>
      <c r="C717" s="531">
        <v>10440</v>
      </c>
      <c r="D717" s="531" t="s">
        <v>78</v>
      </c>
      <c r="E717" s="531" t="s">
        <v>343</v>
      </c>
      <c r="F717" s="531" t="s">
        <v>11</v>
      </c>
      <c r="G717" s="531" t="s">
        <v>283</v>
      </c>
      <c r="H717" s="531" t="s">
        <v>483</v>
      </c>
      <c r="I717" s="531" t="s">
        <v>78</v>
      </c>
      <c r="J717" s="531" t="s">
        <v>78</v>
      </c>
      <c r="K717" s="531" t="s">
        <v>78</v>
      </c>
      <c r="L717" s="531" t="s">
        <v>78</v>
      </c>
      <c r="M717" s="531" t="s">
        <v>78</v>
      </c>
      <c r="N717" s="531" t="s">
        <v>78</v>
      </c>
      <c r="O717" s="531"/>
      <c r="P717" s="531" t="s">
        <v>78</v>
      </c>
      <c r="Q717" s="531" t="s">
        <v>78</v>
      </c>
      <c r="R717" s="531" t="s">
        <v>78</v>
      </c>
      <c r="S717" s="531" t="s">
        <v>78</v>
      </c>
    </row>
    <row r="718" spans="1:19" x14ac:dyDescent="0.35">
      <c r="A718" s="531" t="s">
        <v>484</v>
      </c>
      <c r="B718" s="531">
        <v>1873120</v>
      </c>
      <c r="C718" s="531">
        <v>14720</v>
      </c>
      <c r="D718" s="531" t="s">
        <v>78</v>
      </c>
      <c r="E718" s="531" t="s">
        <v>343</v>
      </c>
      <c r="F718" s="531" t="s">
        <v>11</v>
      </c>
      <c r="G718" s="531" t="s">
        <v>307</v>
      </c>
      <c r="H718" s="531" t="s">
        <v>483</v>
      </c>
      <c r="I718" s="531" t="s">
        <v>78</v>
      </c>
      <c r="J718" s="531" t="s">
        <v>78</v>
      </c>
      <c r="K718" s="531" t="s">
        <v>78</v>
      </c>
      <c r="L718" s="531" t="s">
        <v>78</v>
      </c>
      <c r="M718" s="531" t="s">
        <v>78</v>
      </c>
      <c r="N718" s="531" t="s">
        <v>78</v>
      </c>
      <c r="O718" s="531"/>
      <c r="P718" s="531" t="s">
        <v>78</v>
      </c>
      <c r="Q718" s="531" t="s">
        <v>78</v>
      </c>
      <c r="R718" s="531" t="s">
        <v>78</v>
      </c>
      <c r="S718" s="531" t="s">
        <v>78</v>
      </c>
    </row>
    <row r="719" spans="1:19" x14ac:dyDescent="0.35">
      <c r="A719" t="s">
        <v>484</v>
      </c>
      <c r="B719">
        <v>788560</v>
      </c>
      <c r="C719">
        <v>24800</v>
      </c>
      <c r="D719" t="s">
        <v>78</v>
      </c>
      <c r="E719" t="s">
        <v>413</v>
      </c>
      <c r="F719" t="s">
        <v>83</v>
      </c>
      <c r="G719" t="s">
        <v>282</v>
      </c>
      <c r="H719" t="s">
        <v>483</v>
      </c>
      <c r="I719" t="s">
        <v>78</v>
      </c>
      <c r="J719" t="s">
        <v>78</v>
      </c>
      <c r="K719" t="s">
        <v>78</v>
      </c>
      <c r="L719" t="s">
        <v>78</v>
      </c>
      <c r="M719" t="s">
        <v>78</v>
      </c>
      <c r="N719" t="s">
        <v>78</v>
      </c>
      <c r="O719" t="s">
        <v>78</v>
      </c>
      <c r="P719" t="s">
        <v>78</v>
      </c>
      <c r="Q719" t="s">
        <v>78</v>
      </c>
      <c r="R719" t="s">
        <v>78</v>
      </c>
      <c r="S719" t="s">
        <v>78</v>
      </c>
    </row>
    <row r="720" spans="1:19" x14ac:dyDescent="0.35">
      <c r="A720" s="530" t="s">
        <v>482</v>
      </c>
      <c r="B720" s="530">
        <v>256320</v>
      </c>
      <c r="C720" s="530">
        <v>27600</v>
      </c>
      <c r="D720" s="530" t="s">
        <v>78</v>
      </c>
      <c r="E720" s="530" t="s">
        <v>343</v>
      </c>
      <c r="F720" s="530" t="s">
        <v>11</v>
      </c>
      <c r="G720" s="530" t="s">
        <v>282</v>
      </c>
      <c r="H720" s="530" t="s">
        <v>483</v>
      </c>
      <c r="I720" s="530" t="s">
        <v>78</v>
      </c>
      <c r="J720" s="530" t="s">
        <v>78</v>
      </c>
      <c r="K720" s="530" t="s">
        <v>78</v>
      </c>
      <c r="L720" s="530" t="s">
        <v>78</v>
      </c>
      <c r="M720" s="530" t="s">
        <v>78</v>
      </c>
      <c r="N720" s="530" t="s">
        <v>78</v>
      </c>
      <c r="O720" s="530"/>
      <c r="P720" s="530" t="s">
        <v>78</v>
      </c>
      <c r="Q720" s="530" t="s">
        <v>78</v>
      </c>
      <c r="R720" s="530" t="s">
        <v>78</v>
      </c>
      <c r="S720" s="530" t="s">
        <v>78</v>
      </c>
    </row>
    <row r="721" spans="1:19" x14ac:dyDescent="0.35">
      <c r="A721" s="531" t="s">
        <v>482</v>
      </c>
      <c r="B721" s="531">
        <v>1937600</v>
      </c>
      <c r="C721" s="531">
        <v>20640</v>
      </c>
      <c r="D721" s="531" t="s">
        <v>78</v>
      </c>
      <c r="E721" s="531" t="s">
        <v>78</v>
      </c>
      <c r="F721" s="531" t="s">
        <v>13</v>
      </c>
      <c r="G721" s="531" t="s">
        <v>78</v>
      </c>
      <c r="H721" s="531" t="s">
        <v>483</v>
      </c>
      <c r="I721" s="531" t="s">
        <v>78</v>
      </c>
      <c r="J721" s="531" t="s">
        <v>78</v>
      </c>
      <c r="K721" s="531" t="s">
        <v>78</v>
      </c>
      <c r="L721" s="531" t="s">
        <v>78</v>
      </c>
      <c r="M721" s="531" t="s">
        <v>78</v>
      </c>
      <c r="N721" s="531" t="s">
        <v>78</v>
      </c>
      <c r="O721" s="531"/>
      <c r="P721" s="531" t="s">
        <v>78</v>
      </c>
      <c r="Q721" s="531" t="s">
        <v>78</v>
      </c>
      <c r="R721" s="531" t="s">
        <v>78</v>
      </c>
      <c r="S721" s="531" t="s">
        <v>78</v>
      </c>
    </row>
    <row r="722" spans="1:19" x14ac:dyDescent="0.35">
      <c r="A722" t="s">
        <v>482</v>
      </c>
      <c r="B722">
        <v>890080</v>
      </c>
      <c r="C722">
        <v>12600</v>
      </c>
      <c r="D722" t="s">
        <v>78</v>
      </c>
      <c r="E722" t="s">
        <v>413</v>
      </c>
      <c r="F722" t="s">
        <v>11</v>
      </c>
      <c r="G722" t="s">
        <v>17</v>
      </c>
      <c r="H722" t="s">
        <v>483</v>
      </c>
      <c r="I722" t="s">
        <v>78</v>
      </c>
      <c r="J722" t="s">
        <v>78</v>
      </c>
      <c r="K722" t="s">
        <v>78</v>
      </c>
      <c r="L722" t="s">
        <v>78</v>
      </c>
      <c r="M722" t="s">
        <v>78</v>
      </c>
      <c r="N722" t="s">
        <v>78</v>
      </c>
      <c r="O722" t="s">
        <v>78</v>
      </c>
      <c r="P722" t="s">
        <v>78</v>
      </c>
      <c r="Q722" t="s">
        <v>78</v>
      </c>
      <c r="R722" t="s">
        <v>78</v>
      </c>
      <c r="S722" t="s">
        <v>78</v>
      </c>
    </row>
    <row r="723" spans="1:19" x14ac:dyDescent="0.35">
      <c r="A723" s="531" t="s">
        <v>555</v>
      </c>
      <c r="B723" s="531">
        <v>321240</v>
      </c>
      <c r="C723" s="531">
        <v>28720</v>
      </c>
      <c r="D723" s="531" t="s">
        <v>78</v>
      </c>
      <c r="E723" s="531" t="s">
        <v>343</v>
      </c>
      <c r="F723" s="531" t="s">
        <v>11</v>
      </c>
      <c r="G723" s="531" t="s">
        <v>297</v>
      </c>
      <c r="H723" s="531" t="s">
        <v>483</v>
      </c>
      <c r="I723" s="531" t="s">
        <v>78</v>
      </c>
      <c r="J723" s="531" t="s">
        <v>78</v>
      </c>
      <c r="K723" s="531" t="s">
        <v>78</v>
      </c>
      <c r="L723" s="531" t="s">
        <v>78</v>
      </c>
      <c r="M723" s="531" t="s">
        <v>78</v>
      </c>
      <c r="N723" s="531" t="s">
        <v>78</v>
      </c>
      <c r="O723" s="531"/>
      <c r="P723" s="531" t="s">
        <v>78</v>
      </c>
      <c r="Q723" s="531" t="s">
        <v>78</v>
      </c>
      <c r="R723" s="531" t="s">
        <v>78</v>
      </c>
      <c r="S723" s="531" t="s">
        <v>78</v>
      </c>
    </row>
    <row r="724" spans="1:19" x14ac:dyDescent="0.35">
      <c r="A724" s="531" t="s">
        <v>555</v>
      </c>
      <c r="B724" s="531">
        <v>1972680</v>
      </c>
      <c r="C724" s="531">
        <v>19040</v>
      </c>
      <c r="D724" s="531" t="s">
        <v>78</v>
      </c>
      <c r="E724" s="531" t="s">
        <v>78</v>
      </c>
      <c r="F724" s="531" t="s">
        <v>13</v>
      </c>
      <c r="G724" s="531" t="s">
        <v>78</v>
      </c>
      <c r="H724" s="531" t="s">
        <v>483</v>
      </c>
      <c r="I724" s="531" t="s">
        <v>78</v>
      </c>
      <c r="J724" s="531" t="s">
        <v>78</v>
      </c>
      <c r="K724" s="531" t="s">
        <v>78</v>
      </c>
      <c r="L724" s="531" t="s">
        <v>78</v>
      </c>
      <c r="M724" s="531" t="s">
        <v>78</v>
      </c>
      <c r="N724" s="531" t="s">
        <v>78</v>
      </c>
      <c r="O724" s="531"/>
      <c r="P724" s="531" t="s">
        <v>78</v>
      </c>
      <c r="Q724" s="531" t="s">
        <v>78</v>
      </c>
      <c r="R724" s="531" t="s">
        <v>78</v>
      </c>
      <c r="S724" s="531" t="s">
        <v>78</v>
      </c>
    </row>
    <row r="725" spans="1:19" x14ac:dyDescent="0.35">
      <c r="A725" s="530" t="s">
        <v>518</v>
      </c>
      <c r="B725" s="530">
        <v>193360</v>
      </c>
      <c r="C725" s="530">
        <v>18280</v>
      </c>
      <c r="D725" s="530" t="s">
        <v>78</v>
      </c>
      <c r="E725" s="530" t="s">
        <v>78</v>
      </c>
      <c r="F725" s="530" t="s">
        <v>13</v>
      </c>
      <c r="G725" s="530" t="s">
        <v>78</v>
      </c>
      <c r="H725" s="530" t="s">
        <v>483</v>
      </c>
      <c r="I725" s="530" t="s">
        <v>78</v>
      </c>
      <c r="J725" s="530" t="s">
        <v>78</v>
      </c>
      <c r="K725" s="530" t="s">
        <v>78</v>
      </c>
      <c r="L725" s="530" t="s">
        <v>78</v>
      </c>
      <c r="M725" s="530" t="s">
        <v>78</v>
      </c>
      <c r="N725" s="530" t="s">
        <v>78</v>
      </c>
      <c r="O725" s="530"/>
      <c r="P725" s="530" t="s">
        <v>78</v>
      </c>
      <c r="Q725" s="530" t="s">
        <v>78</v>
      </c>
      <c r="R725" s="530" t="s">
        <v>78</v>
      </c>
      <c r="S725" s="530" t="s">
        <v>78</v>
      </c>
    </row>
    <row r="726" spans="1:19" x14ac:dyDescent="0.35">
      <c r="A726" s="531" t="s">
        <v>518</v>
      </c>
      <c r="B726" s="531">
        <v>1992840</v>
      </c>
      <c r="C726" s="531">
        <v>7000</v>
      </c>
      <c r="D726" s="531" t="s">
        <v>78</v>
      </c>
      <c r="E726" s="531" t="s">
        <v>343</v>
      </c>
      <c r="F726" s="531" t="s">
        <v>10</v>
      </c>
      <c r="G726" s="531" t="s">
        <v>308</v>
      </c>
      <c r="H726" s="531" t="s">
        <v>483</v>
      </c>
      <c r="I726" s="531" t="s">
        <v>78</v>
      </c>
      <c r="J726" s="531" t="s">
        <v>78</v>
      </c>
      <c r="K726" s="531" t="s">
        <v>78</v>
      </c>
      <c r="L726" s="531" t="s">
        <v>78</v>
      </c>
      <c r="M726" s="531" t="s">
        <v>78</v>
      </c>
      <c r="N726" s="531" t="s">
        <v>78</v>
      </c>
      <c r="O726" s="531"/>
      <c r="P726" s="531" t="s">
        <v>78</v>
      </c>
      <c r="Q726" s="531" t="s">
        <v>78</v>
      </c>
      <c r="R726" s="531" t="s">
        <v>78</v>
      </c>
      <c r="S726" s="531" t="s">
        <v>78</v>
      </c>
    </row>
    <row r="727" spans="1:19" x14ac:dyDescent="0.35">
      <c r="A727" t="s">
        <v>601</v>
      </c>
      <c r="B727">
        <v>2068240</v>
      </c>
      <c r="C727">
        <v>11680</v>
      </c>
      <c r="D727" t="s">
        <v>78</v>
      </c>
      <c r="E727" t="s">
        <v>413</v>
      </c>
      <c r="F727" t="s">
        <v>11</v>
      </c>
      <c r="G727" t="s">
        <v>15</v>
      </c>
      <c r="H727" t="s">
        <v>602</v>
      </c>
      <c r="I727" t="s">
        <v>78</v>
      </c>
      <c r="J727" t="s">
        <v>78</v>
      </c>
      <c r="K727" t="s">
        <v>78</v>
      </c>
      <c r="L727" t="s">
        <v>78</v>
      </c>
      <c r="M727" t="s">
        <v>78</v>
      </c>
      <c r="N727" t="s">
        <v>78</v>
      </c>
      <c r="P727" t="s">
        <v>78</v>
      </c>
      <c r="Q727" t="s">
        <v>78</v>
      </c>
      <c r="R727" t="s">
        <v>78</v>
      </c>
      <c r="S727" t="s">
        <v>78</v>
      </c>
    </row>
    <row r="728" spans="1:19" x14ac:dyDescent="0.35">
      <c r="A728" t="s">
        <v>603</v>
      </c>
      <c r="B728">
        <v>5080</v>
      </c>
      <c r="C728">
        <v>22480</v>
      </c>
      <c r="D728" t="s">
        <v>78</v>
      </c>
      <c r="E728" t="s">
        <v>343</v>
      </c>
      <c r="F728" t="s">
        <v>11</v>
      </c>
      <c r="G728" t="s">
        <v>17</v>
      </c>
      <c r="H728" t="s">
        <v>602</v>
      </c>
      <c r="I728" t="s">
        <v>78</v>
      </c>
      <c r="J728" t="s">
        <v>78</v>
      </c>
      <c r="K728" t="s">
        <v>78</v>
      </c>
      <c r="L728" t="s">
        <v>78</v>
      </c>
      <c r="M728" t="s">
        <v>78</v>
      </c>
      <c r="N728" t="s">
        <v>78</v>
      </c>
      <c r="P728" t="s">
        <v>78</v>
      </c>
      <c r="Q728" t="s">
        <v>78</v>
      </c>
      <c r="R728" t="s">
        <v>78</v>
      </c>
      <c r="S728" t="s">
        <v>78</v>
      </c>
    </row>
    <row r="729" spans="1:19" x14ac:dyDescent="0.35">
      <c r="A729" s="530" t="s">
        <v>568</v>
      </c>
      <c r="B729" s="530">
        <v>2137200</v>
      </c>
      <c r="C729" s="530">
        <v>7000</v>
      </c>
      <c r="D729" s="530" t="s">
        <v>78</v>
      </c>
      <c r="E729" s="530" t="s">
        <v>413</v>
      </c>
      <c r="F729" s="530" t="s">
        <v>83</v>
      </c>
      <c r="G729" s="530" t="s">
        <v>301</v>
      </c>
      <c r="H729" s="530" t="s">
        <v>569</v>
      </c>
      <c r="I729" s="530" t="s">
        <v>78</v>
      </c>
      <c r="J729" s="530" t="s">
        <v>78</v>
      </c>
      <c r="K729" s="530" t="s">
        <v>78</v>
      </c>
      <c r="L729" s="530" t="s">
        <v>78</v>
      </c>
      <c r="M729" s="530" t="s">
        <v>78</v>
      </c>
      <c r="N729" s="530" t="s">
        <v>78</v>
      </c>
      <c r="O729" s="530"/>
      <c r="P729" s="530" t="s">
        <v>78</v>
      </c>
      <c r="Q729" s="530" t="s">
        <v>78</v>
      </c>
      <c r="R729" s="530" t="s">
        <v>78</v>
      </c>
      <c r="S729" s="530" t="s">
        <v>78</v>
      </c>
    </row>
    <row r="730" spans="1:19" x14ac:dyDescent="0.35">
      <c r="A730" t="s">
        <v>568</v>
      </c>
      <c r="B730">
        <v>1778800</v>
      </c>
      <c r="C730">
        <v>41440</v>
      </c>
      <c r="D730" t="s">
        <v>78</v>
      </c>
      <c r="E730" t="s">
        <v>343</v>
      </c>
      <c r="F730" t="s">
        <v>11</v>
      </c>
      <c r="G730" t="s">
        <v>298</v>
      </c>
      <c r="H730" t="s">
        <v>569</v>
      </c>
      <c r="I730" t="s">
        <v>78</v>
      </c>
      <c r="J730" t="s">
        <v>78</v>
      </c>
      <c r="K730" t="s">
        <v>78</v>
      </c>
      <c r="L730" t="s">
        <v>78</v>
      </c>
      <c r="M730" t="s">
        <v>78</v>
      </c>
      <c r="N730" t="s">
        <v>78</v>
      </c>
      <c r="P730" t="s">
        <v>78</v>
      </c>
      <c r="Q730" t="s">
        <v>78</v>
      </c>
      <c r="R730" t="s">
        <v>78</v>
      </c>
      <c r="S730" t="s">
        <v>78</v>
      </c>
    </row>
    <row r="731" spans="1:19" x14ac:dyDescent="0.35">
      <c r="A731" t="s">
        <v>604</v>
      </c>
      <c r="B731">
        <v>1856800</v>
      </c>
      <c r="C731">
        <v>22520</v>
      </c>
      <c r="D731" t="s">
        <v>78</v>
      </c>
      <c r="E731" t="s">
        <v>78</v>
      </c>
      <c r="F731" t="s">
        <v>13</v>
      </c>
      <c r="G731" t="s">
        <v>78</v>
      </c>
      <c r="H731" t="s">
        <v>569</v>
      </c>
      <c r="I731" t="s">
        <v>78</v>
      </c>
      <c r="J731" t="s">
        <v>78</v>
      </c>
      <c r="K731" t="s">
        <v>78</v>
      </c>
      <c r="L731" t="s">
        <v>78</v>
      </c>
      <c r="M731" t="s">
        <v>78</v>
      </c>
      <c r="N731" t="s">
        <v>78</v>
      </c>
      <c r="P731" t="s">
        <v>78</v>
      </c>
      <c r="Q731" t="s">
        <v>78</v>
      </c>
      <c r="R731" t="s">
        <v>78</v>
      </c>
      <c r="S731" t="s">
        <v>78</v>
      </c>
    </row>
    <row r="732" spans="1:19" x14ac:dyDescent="0.35">
      <c r="A732" t="s">
        <v>605</v>
      </c>
      <c r="B732">
        <v>1875280</v>
      </c>
      <c r="C732">
        <v>12600</v>
      </c>
      <c r="D732" t="s">
        <v>78</v>
      </c>
      <c r="E732" t="s">
        <v>343</v>
      </c>
      <c r="F732" t="s">
        <v>83</v>
      </c>
      <c r="G732" t="s">
        <v>308</v>
      </c>
      <c r="H732" t="s">
        <v>569</v>
      </c>
      <c r="I732" t="s">
        <v>78</v>
      </c>
      <c r="J732" t="s">
        <v>78</v>
      </c>
      <c r="K732" t="s">
        <v>78</v>
      </c>
      <c r="L732" t="s">
        <v>78</v>
      </c>
      <c r="M732" t="s">
        <v>78</v>
      </c>
      <c r="N732" t="s">
        <v>78</v>
      </c>
      <c r="P732" t="s">
        <v>78</v>
      </c>
      <c r="Q732" t="s">
        <v>78</v>
      </c>
      <c r="R732" t="s">
        <v>78</v>
      </c>
      <c r="S732" t="s">
        <v>78</v>
      </c>
    </row>
    <row r="733" spans="1:19" x14ac:dyDescent="0.35">
      <c r="A733" s="531" t="s">
        <v>167</v>
      </c>
      <c r="B733" s="531">
        <v>631280</v>
      </c>
      <c r="C733" s="531">
        <v>17000</v>
      </c>
      <c r="D733" s="531" t="s">
        <v>78</v>
      </c>
      <c r="E733" s="531" t="s">
        <v>346</v>
      </c>
      <c r="F733" s="531" t="s">
        <v>11</v>
      </c>
      <c r="G733" s="531" t="s">
        <v>301</v>
      </c>
      <c r="H733" s="531" t="s">
        <v>78</v>
      </c>
      <c r="I733" s="531" t="s">
        <v>16</v>
      </c>
      <c r="J733" s="531" t="s">
        <v>78</v>
      </c>
      <c r="K733" s="531" t="s">
        <v>78</v>
      </c>
      <c r="L733" s="531" t="s">
        <v>78</v>
      </c>
      <c r="M733" s="531" t="s">
        <v>78</v>
      </c>
      <c r="N733" s="531" t="s">
        <v>78</v>
      </c>
      <c r="O733" s="531"/>
      <c r="P733" s="531" t="s">
        <v>78</v>
      </c>
      <c r="Q733" s="531" t="s">
        <v>78</v>
      </c>
      <c r="R733" s="531" t="s">
        <v>78</v>
      </c>
      <c r="S733" s="531" t="s">
        <v>506</v>
      </c>
    </row>
    <row r="734" spans="1:19" x14ac:dyDescent="0.35">
      <c r="A734" s="530" t="s">
        <v>167</v>
      </c>
      <c r="B734" s="530">
        <v>556880</v>
      </c>
      <c r="C734" s="530">
        <v>17000</v>
      </c>
      <c r="D734" s="530" t="s">
        <v>78</v>
      </c>
      <c r="E734" s="530" t="s">
        <v>415</v>
      </c>
      <c r="F734" s="530" t="s">
        <v>11</v>
      </c>
      <c r="G734" s="530" t="s">
        <v>304</v>
      </c>
      <c r="H734" s="530" t="s">
        <v>78</v>
      </c>
      <c r="I734" s="530" t="s">
        <v>16</v>
      </c>
      <c r="J734" s="530" t="s">
        <v>78</v>
      </c>
      <c r="K734" s="530" t="s">
        <v>78</v>
      </c>
      <c r="L734" s="530" t="s">
        <v>78</v>
      </c>
      <c r="M734" s="530" t="s">
        <v>78</v>
      </c>
      <c r="N734" s="530" t="s">
        <v>78</v>
      </c>
      <c r="O734" s="530"/>
      <c r="P734" s="530" t="s">
        <v>78</v>
      </c>
      <c r="Q734" s="530" t="s">
        <v>78</v>
      </c>
      <c r="R734" s="530" t="s">
        <v>78</v>
      </c>
      <c r="S734" s="530" t="s">
        <v>418</v>
      </c>
    </row>
    <row r="735" spans="1:19" x14ac:dyDescent="0.35">
      <c r="A735" s="531" t="s">
        <v>167</v>
      </c>
      <c r="B735" s="531">
        <v>119240</v>
      </c>
      <c r="C735" s="531">
        <v>17000</v>
      </c>
      <c r="D735" s="531" t="s">
        <v>78</v>
      </c>
      <c r="E735" s="531" t="s">
        <v>415</v>
      </c>
      <c r="F735" s="531" t="s">
        <v>13</v>
      </c>
      <c r="G735" s="531" t="s">
        <v>78</v>
      </c>
      <c r="H735" s="531" t="s">
        <v>78</v>
      </c>
      <c r="I735" s="531" t="s">
        <v>16</v>
      </c>
      <c r="J735" s="531" t="s">
        <v>78</v>
      </c>
      <c r="K735" s="531" t="s">
        <v>78</v>
      </c>
      <c r="L735" s="531" t="s">
        <v>78</v>
      </c>
      <c r="M735" s="531" t="s">
        <v>78</v>
      </c>
      <c r="N735" s="531" t="s">
        <v>78</v>
      </c>
      <c r="O735" s="531"/>
      <c r="P735" s="531" t="s">
        <v>78</v>
      </c>
      <c r="Q735" s="531" t="s">
        <v>78</v>
      </c>
      <c r="R735" s="531" t="s">
        <v>78</v>
      </c>
      <c r="S735" s="531" t="s">
        <v>78</v>
      </c>
    </row>
    <row r="736" spans="1:19" x14ac:dyDescent="0.35">
      <c r="A736" t="s">
        <v>167</v>
      </c>
      <c r="B736">
        <v>75280</v>
      </c>
      <c r="C736">
        <v>17000</v>
      </c>
      <c r="D736" t="s">
        <v>78</v>
      </c>
      <c r="E736" t="s">
        <v>376</v>
      </c>
      <c r="F736" t="s">
        <v>13</v>
      </c>
      <c r="G736" t="s">
        <v>78</v>
      </c>
      <c r="H736" t="s">
        <v>78</v>
      </c>
      <c r="I736" t="s">
        <v>16</v>
      </c>
      <c r="J736" t="s">
        <v>78</v>
      </c>
      <c r="K736" t="s">
        <v>78</v>
      </c>
      <c r="L736" t="s">
        <v>78</v>
      </c>
      <c r="M736" t="s">
        <v>78</v>
      </c>
      <c r="N736" t="s">
        <v>78</v>
      </c>
      <c r="P736" t="s">
        <v>78</v>
      </c>
      <c r="Q736" t="s">
        <v>78</v>
      </c>
      <c r="R736" t="s">
        <v>78</v>
      </c>
      <c r="S736" t="s">
        <v>506</v>
      </c>
    </row>
    <row r="737" spans="1:19" x14ac:dyDescent="0.35">
      <c r="A737" t="s">
        <v>167</v>
      </c>
      <c r="B737">
        <v>329240</v>
      </c>
      <c r="C737">
        <v>17000</v>
      </c>
      <c r="D737" t="s">
        <v>78</v>
      </c>
      <c r="E737" t="s">
        <v>348</v>
      </c>
      <c r="F737" t="s">
        <v>79</v>
      </c>
      <c r="G737" t="s">
        <v>78</v>
      </c>
      <c r="H737" t="s">
        <v>78</v>
      </c>
      <c r="I737" t="s">
        <v>16</v>
      </c>
      <c r="J737" t="s">
        <v>78</v>
      </c>
      <c r="K737" t="s">
        <v>78</v>
      </c>
      <c r="L737" t="s">
        <v>78</v>
      </c>
      <c r="M737" t="s">
        <v>78</v>
      </c>
      <c r="N737" t="s">
        <v>78</v>
      </c>
      <c r="O737" t="s">
        <v>78</v>
      </c>
      <c r="P737" t="s">
        <v>78</v>
      </c>
      <c r="Q737" t="s">
        <v>78</v>
      </c>
      <c r="R737" t="s">
        <v>209</v>
      </c>
      <c r="S737" t="s">
        <v>78</v>
      </c>
    </row>
    <row r="738" spans="1:19" x14ac:dyDescent="0.35">
      <c r="A738" s="530" t="s">
        <v>356</v>
      </c>
      <c r="B738" s="530">
        <v>861160</v>
      </c>
      <c r="C738" s="530">
        <v>17000</v>
      </c>
      <c r="D738" s="530" t="s">
        <v>78</v>
      </c>
      <c r="E738" s="530" t="s">
        <v>415</v>
      </c>
      <c r="F738" s="530" t="s">
        <v>11</v>
      </c>
      <c r="G738" s="530" t="s">
        <v>282</v>
      </c>
      <c r="H738" s="530" t="s">
        <v>78</v>
      </c>
      <c r="I738" s="530" t="s">
        <v>16</v>
      </c>
      <c r="J738" s="530" t="s">
        <v>78</v>
      </c>
      <c r="K738" s="530" t="s">
        <v>78</v>
      </c>
      <c r="L738" s="530" t="s">
        <v>78</v>
      </c>
      <c r="M738" s="530" t="s">
        <v>78</v>
      </c>
      <c r="N738" s="530" t="s">
        <v>78</v>
      </c>
      <c r="O738" s="530"/>
      <c r="P738" s="530" t="s">
        <v>78</v>
      </c>
      <c r="Q738" s="530" t="s">
        <v>78</v>
      </c>
      <c r="R738" s="530" t="s">
        <v>78</v>
      </c>
      <c r="S738" s="530" t="s">
        <v>78</v>
      </c>
    </row>
    <row r="739" spans="1:19" x14ac:dyDescent="0.35">
      <c r="A739" s="530" t="s">
        <v>356</v>
      </c>
      <c r="B739" s="530">
        <v>359080</v>
      </c>
      <c r="C739" s="530">
        <v>17000</v>
      </c>
      <c r="D739" s="530" t="s">
        <v>78</v>
      </c>
      <c r="E739" s="530" t="s">
        <v>415</v>
      </c>
      <c r="F739" s="530" t="s">
        <v>10</v>
      </c>
      <c r="G739" s="530" t="s">
        <v>308</v>
      </c>
      <c r="H739" s="530" t="s">
        <v>78</v>
      </c>
      <c r="I739" s="530" t="s">
        <v>16</v>
      </c>
      <c r="J739" s="530" t="s">
        <v>78</v>
      </c>
      <c r="K739" s="530" t="s">
        <v>78</v>
      </c>
      <c r="L739" s="530" t="s">
        <v>78</v>
      </c>
      <c r="M739" s="530" t="s">
        <v>78</v>
      </c>
      <c r="N739" s="530" t="s">
        <v>78</v>
      </c>
      <c r="O739" s="530"/>
      <c r="P739" s="530" t="s">
        <v>78</v>
      </c>
      <c r="Q739" s="530" t="s">
        <v>78</v>
      </c>
      <c r="R739" s="530" t="s">
        <v>78</v>
      </c>
      <c r="S739" s="530" t="s">
        <v>573</v>
      </c>
    </row>
    <row r="740" spans="1:19" x14ac:dyDescent="0.35">
      <c r="A740" t="s">
        <v>356</v>
      </c>
      <c r="B740">
        <v>1111320</v>
      </c>
      <c r="C740">
        <v>17000</v>
      </c>
      <c r="D740" t="s">
        <v>78</v>
      </c>
      <c r="E740" t="s">
        <v>377</v>
      </c>
      <c r="F740" t="s">
        <v>83</v>
      </c>
      <c r="G740" t="s">
        <v>15</v>
      </c>
      <c r="H740" t="s">
        <v>78</v>
      </c>
      <c r="I740" t="s">
        <v>16</v>
      </c>
      <c r="J740" t="s">
        <v>78</v>
      </c>
      <c r="K740" t="s">
        <v>78</v>
      </c>
      <c r="L740" t="s">
        <v>78</v>
      </c>
      <c r="M740" t="s">
        <v>78</v>
      </c>
      <c r="N740" t="s">
        <v>78</v>
      </c>
      <c r="P740" t="s">
        <v>78</v>
      </c>
      <c r="Q740" t="s">
        <v>78</v>
      </c>
      <c r="R740" t="s">
        <v>78</v>
      </c>
      <c r="S740" t="s">
        <v>418</v>
      </c>
    </row>
    <row r="741" spans="1:19" x14ac:dyDescent="0.35">
      <c r="A741" t="s">
        <v>356</v>
      </c>
      <c r="B741">
        <v>1169800</v>
      </c>
      <c r="C741">
        <v>17000</v>
      </c>
      <c r="D741" t="s">
        <v>78</v>
      </c>
      <c r="E741" t="s">
        <v>415</v>
      </c>
      <c r="F741" t="s">
        <v>13</v>
      </c>
      <c r="G741" t="s">
        <v>78</v>
      </c>
      <c r="H741" t="s">
        <v>78</v>
      </c>
      <c r="I741" t="s">
        <v>16</v>
      </c>
      <c r="J741" t="s">
        <v>78</v>
      </c>
      <c r="K741" t="s">
        <v>78</v>
      </c>
      <c r="L741" t="s">
        <v>78</v>
      </c>
      <c r="M741" t="s">
        <v>78</v>
      </c>
      <c r="N741" t="s">
        <v>78</v>
      </c>
      <c r="O741" t="s">
        <v>78</v>
      </c>
      <c r="P741" t="s">
        <v>78</v>
      </c>
      <c r="Q741" t="s">
        <v>78</v>
      </c>
      <c r="R741" t="s">
        <v>78</v>
      </c>
      <c r="S741" t="s">
        <v>78</v>
      </c>
    </row>
    <row r="742" spans="1:19" x14ac:dyDescent="0.35">
      <c r="A742" s="531" t="s">
        <v>517</v>
      </c>
      <c r="B742" s="531">
        <v>1055720</v>
      </c>
      <c r="C742" s="531">
        <v>17000</v>
      </c>
      <c r="D742" s="531" t="s">
        <v>78</v>
      </c>
      <c r="E742" s="531" t="s">
        <v>344</v>
      </c>
      <c r="F742" s="531" t="s">
        <v>105</v>
      </c>
      <c r="G742" s="531" t="s">
        <v>78</v>
      </c>
      <c r="H742" s="531" t="s">
        <v>78</v>
      </c>
      <c r="I742" s="531" t="s">
        <v>16</v>
      </c>
      <c r="J742" s="531" t="s">
        <v>78</v>
      </c>
      <c r="K742" s="531" t="s">
        <v>78</v>
      </c>
      <c r="L742" s="531" t="s">
        <v>78</v>
      </c>
      <c r="M742" s="531" t="s">
        <v>78</v>
      </c>
      <c r="N742" s="531" t="s">
        <v>78</v>
      </c>
      <c r="O742" s="531"/>
      <c r="P742" s="531" t="s">
        <v>78</v>
      </c>
      <c r="Q742" s="531" t="s">
        <v>78</v>
      </c>
      <c r="R742" s="531" t="s">
        <v>78</v>
      </c>
      <c r="S742" s="531" t="s">
        <v>78</v>
      </c>
    </row>
    <row r="743" spans="1:19" x14ac:dyDescent="0.35">
      <c r="A743" s="530" t="s">
        <v>517</v>
      </c>
      <c r="B743" s="530">
        <v>479440</v>
      </c>
      <c r="C743" s="530">
        <v>17000</v>
      </c>
      <c r="D743" s="530" t="s">
        <v>78</v>
      </c>
      <c r="E743" s="530" t="s">
        <v>415</v>
      </c>
      <c r="F743" s="530" t="s">
        <v>11</v>
      </c>
      <c r="G743" s="530" t="s">
        <v>308</v>
      </c>
      <c r="H743" s="530" t="s">
        <v>78</v>
      </c>
      <c r="I743" s="530" t="s">
        <v>16</v>
      </c>
      <c r="J743" s="530" t="s">
        <v>78</v>
      </c>
      <c r="K743" s="530" t="s">
        <v>78</v>
      </c>
      <c r="L743" s="530" t="s">
        <v>78</v>
      </c>
      <c r="M743" s="530" t="s">
        <v>78</v>
      </c>
      <c r="N743" s="530" t="s">
        <v>78</v>
      </c>
      <c r="O743" s="530"/>
      <c r="P743" s="530" t="s">
        <v>78</v>
      </c>
      <c r="Q743" s="530" t="s">
        <v>78</v>
      </c>
      <c r="R743" s="530" t="s">
        <v>78</v>
      </c>
      <c r="S743" s="530" t="s">
        <v>419</v>
      </c>
    </row>
    <row r="744" spans="1:19" x14ac:dyDescent="0.35">
      <c r="A744" t="s">
        <v>517</v>
      </c>
      <c r="B744">
        <v>1792120</v>
      </c>
      <c r="C744">
        <v>17000</v>
      </c>
      <c r="D744" t="s">
        <v>78</v>
      </c>
      <c r="E744" t="s">
        <v>344</v>
      </c>
      <c r="F744" t="s">
        <v>11</v>
      </c>
      <c r="G744" t="s">
        <v>283</v>
      </c>
      <c r="H744" t="s">
        <v>78</v>
      </c>
      <c r="I744" t="s">
        <v>16</v>
      </c>
      <c r="J744" t="s">
        <v>78</v>
      </c>
      <c r="K744" t="s">
        <v>78</v>
      </c>
      <c r="L744" t="s">
        <v>78</v>
      </c>
      <c r="M744" t="s">
        <v>78</v>
      </c>
      <c r="N744" t="s">
        <v>78</v>
      </c>
      <c r="P744" t="s">
        <v>78</v>
      </c>
      <c r="Q744" t="s">
        <v>78</v>
      </c>
      <c r="R744" t="s">
        <v>78</v>
      </c>
      <c r="S744" t="s">
        <v>506</v>
      </c>
    </row>
    <row r="745" spans="1:19" x14ac:dyDescent="0.35">
      <c r="A745" s="530" t="s">
        <v>516</v>
      </c>
      <c r="B745" s="530">
        <v>1203600</v>
      </c>
      <c r="C745" s="530">
        <v>17000</v>
      </c>
      <c r="D745" s="530" t="s">
        <v>78</v>
      </c>
      <c r="E745" s="530" t="s">
        <v>346</v>
      </c>
      <c r="F745" s="530" t="s">
        <v>79</v>
      </c>
      <c r="G745" s="530" t="s">
        <v>78</v>
      </c>
      <c r="H745" s="530" t="s">
        <v>78</v>
      </c>
      <c r="I745" s="530" t="s">
        <v>16</v>
      </c>
      <c r="J745" s="530" t="s">
        <v>78</v>
      </c>
      <c r="K745" s="530" t="s">
        <v>78</v>
      </c>
      <c r="L745" s="530" t="s">
        <v>78</v>
      </c>
      <c r="M745" s="530" t="s">
        <v>78</v>
      </c>
      <c r="N745" s="530" t="s">
        <v>78</v>
      </c>
      <c r="O745" s="530"/>
      <c r="P745" s="530" t="s">
        <v>78</v>
      </c>
      <c r="Q745" s="530" t="s">
        <v>78</v>
      </c>
      <c r="R745" s="530" t="s">
        <v>151</v>
      </c>
      <c r="S745" s="530" t="s">
        <v>418</v>
      </c>
    </row>
    <row r="746" spans="1:19" x14ac:dyDescent="0.35">
      <c r="A746" s="530" t="s">
        <v>516</v>
      </c>
      <c r="B746" s="530">
        <v>2310600</v>
      </c>
      <c r="C746" s="530">
        <v>17000</v>
      </c>
      <c r="D746" s="530" t="s">
        <v>78</v>
      </c>
      <c r="E746" s="530" t="s">
        <v>562</v>
      </c>
      <c r="F746" s="530" t="s">
        <v>83</v>
      </c>
      <c r="G746" s="530" t="s">
        <v>296</v>
      </c>
      <c r="H746" s="530" t="s">
        <v>78</v>
      </c>
      <c r="I746" s="530" t="s">
        <v>16</v>
      </c>
      <c r="J746" s="530" t="s">
        <v>78</v>
      </c>
      <c r="K746" s="530" t="s">
        <v>78</v>
      </c>
      <c r="L746" s="530" t="s">
        <v>78</v>
      </c>
      <c r="M746" s="530" t="s">
        <v>78</v>
      </c>
      <c r="N746" s="530" t="s">
        <v>78</v>
      </c>
      <c r="O746" s="530"/>
      <c r="P746" s="530" t="s">
        <v>78</v>
      </c>
      <c r="Q746" s="530" t="s">
        <v>78</v>
      </c>
      <c r="R746" s="530" t="s">
        <v>78</v>
      </c>
      <c r="S746" s="530" t="s">
        <v>566</v>
      </c>
    </row>
    <row r="747" spans="1:19" x14ac:dyDescent="0.35">
      <c r="A747" t="s">
        <v>516</v>
      </c>
      <c r="B747">
        <v>206960</v>
      </c>
      <c r="C747">
        <v>17000</v>
      </c>
      <c r="D747" t="s">
        <v>78</v>
      </c>
      <c r="E747" t="s">
        <v>421</v>
      </c>
      <c r="F747" t="s">
        <v>79</v>
      </c>
      <c r="G747" t="s">
        <v>78</v>
      </c>
      <c r="H747" t="s">
        <v>78</v>
      </c>
      <c r="I747" t="s">
        <v>16</v>
      </c>
      <c r="J747" t="s">
        <v>78</v>
      </c>
      <c r="K747" t="s">
        <v>78</v>
      </c>
      <c r="L747" t="s">
        <v>78</v>
      </c>
      <c r="M747" t="s">
        <v>78</v>
      </c>
      <c r="N747" t="s">
        <v>78</v>
      </c>
      <c r="P747" t="s">
        <v>78</v>
      </c>
      <c r="Q747" t="s">
        <v>78</v>
      </c>
      <c r="R747" t="s">
        <v>209</v>
      </c>
      <c r="S747" t="s">
        <v>506</v>
      </c>
    </row>
    <row r="748" spans="1:19" x14ac:dyDescent="0.35">
      <c r="A748" s="531" t="s">
        <v>515</v>
      </c>
      <c r="B748" s="531">
        <v>1667920</v>
      </c>
      <c r="C748" s="531">
        <v>17000</v>
      </c>
      <c r="D748" s="531" t="s">
        <v>78</v>
      </c>
      <c r="E748" s="531" t="s">
        <v>439</v>
      </c>
      <c r="F748" s="531" t="s">
        <v>79</v>
      </c>
      <c r="G748" s="531" t="s">
        <v>78</v>
      </c>
      <c r="H748" s="531" t="s">
        <v>78</v>
      </c>
      <c r="I748" s="531" t="s">
        <v>16</v>
      </c>
      <c r="J748" s="531" t="s">
        <v>78</v>
      </c>
      <c r="K748" s="531" t="s">
        <v>78</v>
      </c>
      <c r="L748" s="531" t="s">
        <v>78</v>
      </c>
      <c r="M748" s="531" t="s">
        <v>78</v>
      </c>
      <c r="N748" s="531" t="s">
        <v>78</v>
      </c>
      <c r="O748" s="531"/>
      <c r="P748" s="531" t="s">
        <v>78</v>
      </c>
      <c r="Q748" s="531" t="s">
        <v>78</v>
      </c>
      <c r="R748" s="531" t="s">
        <v>357</v>
      </c>
      <c r="S748" s="531" t="s">
        <v>78</v>
      </c>
    </row>
    <row r="749" spans="1:19" x14ac:dyDescent="0.35">
      <c r="A749" s="530" t="s">
        <v>514</v>
      </c>
      <c r="B749" s="530">
        <v>1721400</v>
      </c>
      <c r="C749" s="530">
        <v>17000</v>
      </c>
      <c r="D749" s="530" t="s">
        <v>78</v>
      </c>
      <c r="E749" s="530" t="s">
        <v>421</v>
      </c>
      <c r="F749" s="530" t="s">
        <v>79</v>
      </c>
      <c r="G749" s="530" t="s">
        <v>78</v>
      </c>
      <c r="H749" s="530" t="s">
        <v>78</v>
      </c>
      <c r="I749" s="530" t="s">
        <v>16</v>
      </c>
      <c r="J749" s="530" t="s">
        <v>78</v>
      </c>
      <c r="K749" s="530" t="s">
        <v>78</v>
      </c>
      <c r="L749" s="530" t="s">
        <v>78</v>
      </c>
      <c r="M749" s="530" t="s">
        <v>78</v>
      </c>
      <c r="N749" s="530" t="s">
        <v>78</v>
      </c>
      <c r="O749" s="530"/>
      <c r="P749" s="530" t="s">
        <v>78</v>
      </c>
      <c r="Q749" s="530" t="s">
        <v>78</v>
      </c>
      <c r="R749" s="530" t="s">
        <v>507</v>
      </c>
      <c r="S749" s="530" t="s">
        <v>78</v>
      </c>
    </row>
    <row r="750" spans="1:19" x14ac:dyDescent="0.35">
      <c r="A750" s="530" t="s">
        <v>175</v>
      </c>
      <c r="B750" s="530">
        <v>924720</v>
      </c>
      <c r="C750" s="530">
        <v>17000</v>
      </c>
      <c r="D750" s="530" t="s">
        <v>78</v>
      </c>
      <c r="E750" s="530" t="s">
        <v>346</v>
      </c>
      <c r="F750" s="530" t="s">
        <v>13</v>
      </c>
      <c r="G750" s="530" t="s">
        <v>78</v>
      </c>
      <c r="H750" s="530" t="s">
        <v>78</v>
      </c>
      <c r="I750" s="530" t="s">
        <v>16</v>
      </c>
      <c r="J750" s="530" t="s">
        <v>78</v>
      </c>
      <c r="K750" s="530" t="s">
        <v>78</v>
      </c>
      <c r="L750" s="530" t="s">
        <v>78</v>
      </c>
      <c r="M750" s="530" t="s">
        <v>78</v>
      </c>
      <c r="N750" s="530" t="s">
        <v>78</v>
      </c>
      <c r="O750" s="530"/>
      <c r="P750" s="530" t="s">
        <v>78</v>
      </c>
      <c r="Q750" s="530" t="s">
        <v>78</v>
      </c>
      <c r="R750" s="530" t="s">
        <v>78</v>
      </c>
      <c r="S750" s="530" t="s">
        <v>506</v>
      </c>
    </row>
    <row r="751" spans="1:19" x14ac:dyDescent="0.35">
      <c r="A751" s="531" t="s">
        <v>175</v>
      </c>
      <c r="B751" s="531">
        <v>643920</v>
      </c>
      <c r="C751" s="531">
        <v>17000</v>
      </c>
      <c r="D751" s="531" t="s">
        <v>78</v>
      </c>
      <c r="E751" s="531" t="s">
        <v>415</v>
      </c>
      <c r="F751" s="531" t="s">
        <v>79</v>
      </c>
      <c r="G751" s="531" t="s">
        <v>78</v>
      </c>
      <c r="H751" s="531" t="s">
        <v>78</v>
      </c>
      <c r="I751" s="531" t="s">
        <v>16</v>
      </c>
      <c r="J751" s="531" t="s">
        <v>78</v>
      </c>
      <c r="K751" s="531" t="s">
        <v>78</v>
      </c>
      <c r="L751" s="531" t="s">
        <v>78</v>
      </c>
      <c r="M751" s="531" t="s">
        <v>78</v>
      </c>
      <c r="N751" s="531" t="s">
        <v>78</v>
      </c>
      <c r="O751" s="531"/>
      <c r="P751" s="531" t="s">
        <v>78</v>
      </c>
      <c r="Q751" s="531" t="s">
        <v>78</v>
      </c>
      <c r="R751" s="531" t="s">
        <v>151</v>
      </c>
      <c r="S751" s="531" t="s">
        <v>419</v>
      </c>
    </row>
    <row r="752" spans="1:19" x14ac:dyDescent="0.35">
      <c r="A752" s="530" t="s">
        <v>175</v>
      </c>
      <c r="B752" s="530">
        <v>298040</v>
      </c>
      <c r="C752" s="530">
        <v>17000</v>
      </c>
      <c r="D752" s="530" t="s">
        <v>78</v>
      </c>
      <c r="E752" s="530" t="s">
        <v>344</v>
      </c>
      <c r="F752" s="530" t="s">
        <v>79</v>
      </c>
      <c r="G752" s="530" t="s">
        <v>78</v>
      </c>
      <c r="H752" s="530" t="s">
        <v>78</v>
      </c>
      <c r="I752" s="530" t="s">
        <v>16</v>
      </c>
      <c r="J752" s="530" t="s">
        <v>78</v>
      </c>
      <c r="K752" s="530" t="s">
        <v>78</v>
      </c>
      <c r="L752" s="530" t="s">
        <v>78</v>
      </c>
      <c r="M752" s="530" t="s">
        <v>78</v>
      </c>
      <c r="N752" s="530" t="s">
        <v>78</v>
      </c>
      <c r="O752" s="530"/>
      <c r="P752" s="530" t="s">
        <v>78</v>
      </c>
      <c r="Q752" s="530" t="s">
        <v>78</v>
      </c>
      <c r="R752" s="530" t="s">
        <v>507</v>
      </c>
      <c r="S752" s="530" t="s">
        <v>506</v>
      </c>
    </row>
    <row r="753" spans="1:19" x14ac:dyDescent="0.35">
      <c r="A753" t="s">
        <v>175</v>
      </c>
      <c r="B753">
        <v>273240</v>
      </c>
      <c r="C753">
        <v>17000</v>
      </c>
      <c r="D753" t="s">
        <v>78</v>
      </c>
      <c r="E753" t="s">
        <v>376</v>
      </c>
      <c r="F753" t="s">
        <v>105</v>
      </c>
      <c r="G753" t="s">
        <v>78</v>
      </c>
      <c r="H753" t="s">
        <v>78</v>
      </c>
      <c r="I753" t="s">
        <v>16</v>
      </c>
      <c r="J753" t="s">
        <v>78</v>
      </c>
      <c r="K753" t="s">
        <v>78</v>
      </c>
      <c r="L753" t="s">
        <v>78</v>
      </c>
      <c r="M753" t="s">
        <v>78</v>
      </c>
      <c r="N753" t="s">
        <v>78</v>
      </c>
      <c r="P753" t="s">
        <v>78</v>
      </c>
      <c r="Q753" t="s">
        <v>78</v>
      </c>
      <c r="R753" t="s">
        <v>78</v>
      </c>
      <c r="S753" t="s">
        <v>419</v>
      </c>
    </row>
    <row r="754" spans="1:19" x14ac:dyDescent="0.35">
      <c r="A754" t="s">
        <v>175</v>
      </c>
      <c r="B754">
        <v>557640</v>
      </c>
      <c r="C754">
        <v>17000</v>
      </c>
      <c r="D754" t="s">
        <v>78</v>
      </c>
      <c r="E754" t="s">
        <v>422</v>
      </c>
      <c r="F754" t="s">
        <v>10</v>
      </c>
      <c r="G754" t="s">
        <v>15</v>
      </c>
      <c r="H754" t="s">
        <v>78</v>
      </c>
      <c r="I754" t="s">
        <v>16</v>
      </c>
      <c r="J754" t="s">
        <v>78</v>
      </c>
      <c r="K754" t="s">
        <v>78</v>
      </c>
      <c r="L754" t="s">
        <v>78</v>
      </c>
      <c r="M754" t="s">
        <v>78</v>
      </c>
      <c r="N754" t="s">
        <v>78</v>
      </c>
      <c r="O754" t="s">
        <v>78</v>
      </c>
      <c r="P754" t="s">
        <v>78</v>
      </c>
      <c r="Q754" t="s">
        <v>78</v>
      </c>
      <c r="R754" t="s">
        <v>78</v>
      </c>
      <c r="S754" t="s">
        <v>78</v>
      </c>
    </row>
    <row r="755" spans="1:19" x14ac:dyDescent="0.35">
      <c r="A755" s="531" t="s">
        <v>179</v>
      </c>
      <c r="B755" s="531">
        <v>1389600</v>
      </c>
      <c r="C755" s="531">
        <v>17000</v>
      </c>
      <c r="D755" s="531" t="s">
        <v>78</v>
      </c>
      <c r="E755" s="531" t="s">
        <v>415</v>
      </c>
      <c r="F755" s="531" t="s">
        <v>10</v>
      </c>
      <c r="G755" s="531" t="s">
        <v>308</v>
      </c>
      <c r="H755" s="531" t="s">
        <v>78</v>
      </c>
      <c r="I755" s="531" t="s">
        <v>16</v>
      </c>
      <c r="J755" s="531" t="s">
        <v>78</v>
      </c>
      <c r="K755" s="531" t="s">
        <v>78</v>
      </c>
      <c r="L755" s="531" t="s">
        <v>78</v>
      </c>
      <c r="M755" s="531" t="s">
        <v>78</v>
      </c>
      <c r="N755" s="531" t="s">
        <v>78</v>
      </c>
      <c r="O755" s="531"/>
      <c r="P755" s="531" t="s">
        <v>78</v>
      </c>
      <c r="Q755" s="531" t="s">
        <v>78</v>
      </c>
      <c r="R755" s="531" t="s">
        <v>78</v>
      </c>
      <c r="S755" s="531" t="s">
        <v>78</v>
      </c>
    </row>
    <row r="756" spans="1:19" x14ac:dyDescent="0.35">
      <c r="A756" s="531" t="s">
        <v>179</v>
      </c>
      <c r="B756" s="531">
        <v>343040</v>
      </c>
      <c r="C756" s="531">
        <v>17000</v>
      </c>
      <c r="D756" s="531" t="s">
        <v>78</v>
      </c>
      <c r="E756" s="531" t="s">
        <v>344</v>
      </c>
      <c r="F756" s="531" t="s">
        <v>11</v>
      </c>
      <c r="G756" s="531" t="s">
        <v>283</v>
      </c>
      <c r="H756" s="531" t="s">
        <v>78</v>
      </c>
      <c r="I756" s="531" t="s">
        <v>16</v>
      </c>
      <c r="J756" s="531" t="s">
        <v>78</v>
      </c>
      <c r="K756" s="531" t="s">
        <v>78</v>
      </c>
      <c r="L756" s="531" t="s">
        <v>78</v>
      </c>
      <c r="M756" s="531" t="s">
        <v>78</v>
      </c>
      <c r="N756" s="531" t="s">
        <v>78</v>
      </c>
      <c r="O756" s="531"/>
      <c r="P756" s="531" t="s">
        <v>78</v>
      </c>
      <c r="Q756" s="531" t="s">
        <v>78</v>
      </c>
      <c r="R756" s="531" t="s">
        <v>78</v>
      </c>
      <c r="S756" s="531" t="s">
        <v>566</v>
      </c>
    </row>
    <row r="757" spans="1:19" x14ac:dyDescent="0.35">
      <c r="A757" s="531" t="s">
        <v>179</v>
      </c>
      <c r="B757" s="531">
        <v>856440</v>
      </c>
      <c r="C757" s="531">
        <v>17000</v>
      </c>
      <c r="D757" s="531" t="s">
        <v>78</v>
      </c>
      <c r="E757" s="531" t="s">
        <v>78</v>
      </c>
      <c r="F757" s="531" t="s">
        <v>13</v>
      </c>
      <c r="G757" s="531" t="s">
        <v>78</v>
      </c>
      <c r="H757" s="531" t="s">
        <v>78</v>
      </c>
      <c r="I757" s="531" t="s">
        <v>16</v>
      </c>
      <c r="J757" s="531" t="s">
        <v>78</v>
      </c>
      <c r="K757" s="531" t="s">
        <v>78</v>
      </c>
      <c r="L757" s="531" t="s">
        <v>78</v>
      </c>
      <c r="M757" s="531" t="s">
        <v>78</v>
      </c>
      <c r="N757" s="531" t="s">
        <v>78</v>
      </c>
      <c r="O757" s="531"/>
      <c r="P757" s="531" t="s">
        <v>78</v>
      </c>
      <c r="Q757" s="531" t="s">
        <v>78</v>
      </c>
      <c r="R757" s="531" t="s">
        <v>78</v>
      </c>
      <c r="S757" s="531" t="s">
        <v>573</v>
      </c>
    </row>
    <row r="758" spans="1:19" x14ac:dyDescent="0.35">
      <c r="A758" t="s">
        <v>179</v>
      </c>
      <c r="B758">
        <v>367000</v>
      </c>
      <c r="C758">
        <v>17000</v>
      </c>
      <c r="D758" t="s">
        <v>78</v>
      </c>
      <c r="E758" t="s">
        <v>421</v>
      </c>
      <c r="F758" t="s">
        <v>83</v>
      </c>
      <c r="G758" t="s">
        <v>306</v>
      </c>
      <c r="H758" t="s">
        <v>78</v>
      </c>
      <c r="I758" t="s">
        <v>16</v>
      </c>
      <c r="J758" t="s">
        <v>78</v>
      </c>
      <c r="K758" t="s">
        <v>78</v>
      </c>
      <c r="L758" t="s">
        <v>78</v>
      </c>
      <c r="M758" t="s">
        <v>78</v>
      </c>
      <c r="N758" t="s">
        <v>78</v>
      </c>
      <c r="P758" t="s">
        <v>78</v>
      </c>
      <c r="Q758" t="s">
        <v>78</v>
      </c>
      <c r="R758" t="s">
        <v>78</v>
      </c>
      <c r="S758" t="s">
        <v>566</v>
      </c>
    </row>
    <row r="759" spans="1:19" x14ac:dyDescent="0.35">
      <c r="A759" t="s">
        <v>179</v>
      </c>
      <c r="B759">
        <v>801520</v>
      </c>
      <c r="C759">
        <v>17000</v>
      </c>
      <c r="D759" t="s">
        <v>78</v>
      </c>
      <c r="E759" t="s">
        <v>439</v>
      </c>
      <c r="F759" t="s">
        <v>13</v>
      </c>
      <c r="G759" t="s">
        <v>78</v>
      </c>
      <c r="H759" t="s">
        <v>78</v>
      </c>
      <c r="I759" t="s">
        <v>16</v>
      </c>
      <c r="J759" t="s">
        <v>78</v>
      </c>
      <c r="K759" t="s">
        <v>78</v>
      </c>
      <c r="L759" t="s">
        <v>78</v>
      </c>
      <c r="M759" t="s">
        <v>78</v>
      </c>
      <c r="N759" t="s">
        <v>78</v>
      </c>
      <c r="O759" t="s">
        <v>78</v>
      </c>
      <c r="P759" t="s">
        <v>78</v>
      </c>
      <c r="Q759" t="s">
        <v>78</v>
      </c>
      <c r="R759" t="s">
        <v>78</v>
      </c>
      <c r="S759" t="s">
        <v>78</v>
      </c>
    </row>
    <row r="760" spans="1:19" x14ac:dyDescent="0.35">
      <c r="A760" s="530" t="s">
        <v>204</v>
      </c>
      <c r="B760" s="530">
        <v>1462640</v>
      </c>
      <c r="C760" s="530">
        <v>17000</v>
      </c>
      <c r="D760" s="530" t="s">
        <v>78</v>
      </c>
      <c r="E760" s="530" t="s">
        <v>421</v>
      </c>
      <c r="F760" s="530" t="s">
        <v>13</v>
      </c>
      <c r="G760" s="530" t="s">
        <v>78</v>
      </c>
      <c r="H760" s="530" t="s">
        <v>78</v>
      </c>
      <c r="I760" s="530" t="s">
        <v>16</v>
      </c>
      <c r="J760" s="530" t="s">
        <v>78</v>
      </c>
      <c r="K760" s="530" t="s">
        <v>78</v>
      </c>
      <c r="L760" s="530" t="s">
        <v>78</v>
      </c>
      <c r="M760" s="530" t="s">
        <v>78</v>
      </c>
      <c r="N760" s="530" t="s">
        <v>78</v>
      </c>
      <c r="O760" s="530"/>
      <c r="P760" s="530" t="s">
        <v>78</v>
      </c>
      <c r="Q760" s="530" t="s">
        <v>78</v>
      </c>
      <c r="R760" s="530" t="s">
        <v>78</v>
      </c>
      <c r="S760" s="530" t="s">
        <v>419</v>
      </c>
    </row>
    <row r="761" spans="1:19" x14ac:dyDescent="0.35">
      <c r="A761" s="530" t="s">
        <v>204</v>
      </c>
      <c r="B761" s="530">
        <v>1605640</v>
      </c>
      <c r="C761" s="530">
        <v>17000</v>
      </c>
      <c r="D761" s="530" t="s">
        <v>78</v>
      </c>
      <c r="E761" s="530" t="s">
        <v>377</v>
      </c>
      <c r="F761" s="530" t="s">
        <v>83</v>
      </c>
      <c r="G761" s="530" t="s">
        <v>15</v>
      </c>
      <c r="H761" s="530" t="s">
        <v>78</v>
      </c>
      <c r="I761" s="530" t="s">
        <v>16</v>
      </c>
      <c r="J761" s="530" t="s">
        <v>78</v>
      </c>
      <c r="K761" s="530" t="s">
        <v>78</v>
      </c>
      <c r="L761" s="530" t="s">
        <v>78</v>
      </c>
      <c r="M761" s="530" t="s">
        <v>78</v>
      </c>
      <c r="N761" s="530" t="s">
        <v>78</v>
      </c>
      <c r="O761" s="530"/>
      <c r="P761" s="530" t="s">
        <v>78</v>
      </c>
      <c r="Q761" s="530" t="s">
        <v>78</v>
      </c>
      <c r="R761" s="530" t="s">
        <v>78</v>
      </c>
      <c r="S761" s="530" t="s">
        <v>419</v>
      </c>
    </row>
    <row r="762" spans="1:19" x14ac:dyDescent="0.35">
      <c r="A762" s="531" t="s">
        <v>204</v>
      </c>
      <c r="B762" s="531">
        <v>593960</v>
      </c>
      <c r="C762" s="531">
        <v>17000</v>
      </c>
      <c r="D762" s="531" t="s">
        <v>78</v>
      </c>
      <c r="E762" s="531" t="s">
        <v>422</v>
      </c>
      <c r="F762" s="531" t="s">
        <v>79</v>
      </c>
      <c r="G762" s="531" t="s">
        <v>78</v>
      </c>
      <c r="H762" s="531" t="s">
        <v>78</v>
      </c>
      <c r="I762" s="531" t="s">
        <v>16</v>
      </c>
      <c r="J762" s="531" t="s">
        <v>78</v>
      </c>
      <c r="K762" s="531" t="s">
        <v>78</v>
      </c>
      <c r="L762" s="531" t="s">
        <v>78</v>
      </c>
      <c r="M762" s="531" t="s">
        <v>78</v>
      </c>
      <c r="N762" s="531" t="s">
        <v>78</v>
      </c>
      <c r="O762" s="531"/>
      <c r="P762" s="531" t="s">
        <v>78</v>
      </c>
      <c r="Q762" s="531" t="s">
        <v>78</v>
      </c>
      <c r="R762" s="531" t="s">
        <v>315</v>
      </c>
      <c r="S762" s="531" t="s">
        <v>573</v>
      </c>
    </row>
    <row r="763" spans="1:19" x14ac:dyDescent="0.35">
      <c r="A763" t="s">
        <v>204</v>
      </c>
      <c r="B763">
        <v>462920</v>
      </c>
      <c r="C763">
        <v>17000</v>
      </c>
      <c r="D763" t="s">
        <v>78</v>
      </c>
      <c r="E763" t="s">
        <v>422</v>
      </c>
      <c r="F763" t="s">
        <v>11</v>
      </c>
      <c r="G763" t="s">
        <v>15</v>
      </c>
      <c r="H763" t="s">
        <v>78</v>
      </c>
      <c r="I763" t="s">
        <v>16</v>
      </c>
      <c r="J763" t="s">
        <v>78</v>
      </c>
      <c r="K763" t="s">
        <v>78</v>
      </c>
      <c r="L763" t="s">
        <v>78</v>
      </c>
      <c r="M763" t="s">
        <v>78</v>
      </c>
      <c r="N763" t="s">
        <v>78</v>
      </c>
      <c r="P763" t="s">
        <v>78</v>
      </c>
      <c r="Q763" t="s">
        <v>78</v>
      </c>
      <c r="R763" t="s">
        <v>78</v>
      </c>
      <c r="S763" t="s">
        <v>506</v>
      </c>
    </row>
    <row r="764" spans="1:19" x14ac:dyDescent="0.35">
      <c r="A764" t="s">
        <v>204</v>
      </c>
      <c r="B764">
        <v>885840</v>
      </c>
      <c r="C764">
        <v>17000</v>
      </c>
      <c r="D764" t="s">
        <v>78</v>
      </c>
      <c r="E764" t="s">
        <v>562</v>
      </c>
      <c r="F764" t="s">
        <v>11</v>
      </c>
      <c r="G764" t="s">
        <v>297</v>
      </c>
      <c r="H764" t="s">
        <v>78</v>
      </c>
      <c r="I764" t="s">
        <v>16</v>
      </c>
      <c r="J764" t="s">
        <v>78</v>
      </c>
      <c r="K764" t="s">
        <v>78</v>
      </c>
      <c r="L764" t="s">
        <v>78</v>
      </c>
      <c r="M764" t="s">
        <v>78</v>
      </c>
      <c r="N764" t="s">
        <v>78</v>
      </c>
      <c r="O764" t="s">
        <v>78</v>
      </c>
      <c r="P764" t="s">
        <v>78</v>
      </c>
      <c r="Q764" t="s">
        <v>78</v>
      </c>
      <c r="R764" t="s">
        <v>78</v>
      </c>
      <c r="S764" t="s">
        <v>78</v>
      </c>
    </row>
    <row r="765" spans="1:19" x14ac:dyDescent="0.35">
      <c r="A765" s="531" t="s">
        <v>255</v>
      </c>
      <c r="B765" s="531">
        <v>54720</v>
      </c>
      <c r="C765" s="531">
        <v>17000</v>
      </c>
      <c r="D765" s="531" t="s">
        <v>78</v>
      </c>
      <c r="E765" s="531" t="s">
        <v>415</v>
      </c>
      <c r="F765" s="531" t="s">
        <v>79</v>
      </c>
      <c r="G765" s="531" t="s">
        <v>78</v>
      </c>
      <c r="H765" s="531" t="s">
        <v>78</v>
      </c>
      <c r="I765" s="531" t="s">
        <v>16</v>
      </c>
      <c r="J765" s="531" t="s">
        <v>78</v>
      </c>
      <c r="K765" s="531" t="s">
        <v>78</v>
      </c>
      <c r="L765" s="531" t="s">
        <v>78</v>
      </c>
      <c r="M765" s="531" t="s">
        <v>78</v>
      </c>
      <c r="N765" s="531" t="s">
        <v>78</v>
      </c>
      <c r="O765" s="531"/>
      <c r="P765" s="531" t="s">
        <v>78</v>
      </c>
      <c r="Q765" s="531" t="s">
        <v>78</v>
      </c>
      <c r="R765" s="531" t="s">
        <v>259</v>
      </c>
      <c r="S765" s="531" t="s">
        <v>78</v>
      </c>
    </row>
    <row r="766" spans="1:19" x14ac:dyDescent="0.35">
      <c r="A766" s="530" t="s">
        <v>255</v>
      </c>
      <c r="B766" s="530">
        <v>808200</v>
      </c>
      <c r="C766" s="530">
        <v>17000</v>
      </c>
      <c r="D766" s="530" t="s">
        <v>78</v>
      </c>
      <c r="E766" s="530" t="s">
        <v>346</v>
      </c>
      <c r="F766" s="530" t="s">
        <v>11</v>
      </c>
      <c r="G766" s="530" t="s">
        <v>296</v>
      </c>
      <c r="H766" s="530" t="s">
        <v>78</v>
      </c>
      <c r="I766" s="530" t="s">
        <v>16</v>
      </c>
      <c r="J766" s="530" t="s">
        <v>78</v>
      </c>
      <c r="K766" s="530" t="s">
        <v>78</v>
      </c>
      <c r="L766" s="530" t="s">
        <v>78</v>
      </c>
      <c r="M766" s="530" t="s">
        <v>78</v>
      </c>
      <c r="N766" s="530" t="s">
        <v>78</v>
      </c>
      <c r="O766" s="530"/>
      <c r="P766" s="530" t="s">
        <v>78</v>
      </c>
      <c r="Q766" s="530" t="s">
        <v>78</v>
      </c>
      <c r="R766" s="530" t="s">
        <v>78</v>
      </c>
      <c r="S766" s="530" t="s">
        <v>573</v>
      </c>
    </row>
    <row r="767" spans="1:19" x14ac:dyDescent="0.35">
      <c r="A767" s="531" t="s">
        <v>255</v>
      </c>
      <c r="B767" s="531">
        <v>1646760</v>
      </c>
      <c r="C767" s="531">
        <v>17000</v>
      </c>
      <c r="D767" s="531" t="s">
        <v>78</v>
      </c>
      <c r="E767" s="531" t="s">
        <v>344</v>
      </c>
      <c r="F767" s="531" t="s">
        <v>13</v>
      </c>
      <c r="G767" s="531" t="s">
        <v>78</v>
      </c>
      <c r="H767" s="531" t="s">
        <v>78</v>
      </c>
      <c r="I767" s="531" t="s">
        <v>16</v>
      </c>
      <c r="J767" s="531" t="s">
        <v>78</v>
      </c>
      <c r="K767" s="531" t="s">
        <v>78</v>
      </c>
      <c r="L767" s="531" t="s">
        <v>78</v>
      </c>
      <c r="M767" s="531" t="s">
        <v>78</v>
      </c>
      <c r="N767" s="531" t="s">
        <v>78</v>
      </c>
      <c r="O767" s="531"/>
      <c r="P767" s="531" t="s">
        <v>78</v>
      </c>
      <c r="Q767" s="531" t="s">
        <v>78</v>
      </c>
      <c r="R767" s="531" t="s">
        <v>78</v>
      </c>
      <c r="S767" s="531" t="s">
        <v>418</v>
      </c>
    </row>
    <row r="768" spans="1:19" x14ac:dyDescent="0.35">
      <c r="A768" t="s">
        <v>255</v>
      </c>
      <c r="B768">
        <v>497080</v>
      </c>
      <c r="C768">
        <v>22680</v>
      </c>
      <c r="D768" t="s">
        <v>78</v>
      </c>
      <c r="E768" t="s">
        <v>376</v>
      </c>
      <c r="F768" t="s">
        <v>83</v>
      </c>
      <c r="G768" t="s">
        <v>297</v>
      </c>
      <c r="H768" t="s">
        <v>78</v>
      </c>
      <c r="I768" t="s">
        <v>16</v>
      </c>
      <c r="J768" t="s">
        <v>78</v>
      </c>
      <c r="K768" t="s">
        <v>78</v>
      </c>
      <c r="L768" t="s">
        <v>78</v>
      </c>
      <c r="M768" t="s">
        <v>78</v>
      </c>
      <c r="N768" t="s">
        <v>78</v>
      </c>
      <c r="P768" t="s">
        <v>78</v>
      </c>
      <c r="Q768" t="s">
        <v>78</v>
      </c>
      <c r="R768" t="s">
        <v>78</v>
      </c>
      <c r="S768" t="s">
        <v>573</v>
      </c>
    </row>
    <row r="769" spans="1:19" x14ac:dyDescent="0.35">
      <c r="A769" t="s">
        <v>255</v>
      </c>
      <c r="B769">
        <v>1025680</v>
      </c>
      <c r="C769">
        <v>17000</v>
      </c>
      <c r="D769" t="s">
        <v>78</v>
      </c>
      <c r="E769" t="s">
        <v>376</v>
      </c>
      <c r="F769" t="s">
        <v>79</v>
      </c>
      <c r="G769" t="s">
        <v>78</v>
      </c>
      <c r="H769" t="s">
        <v>78</v>
      </c>
      <c r="I769" t="s">
        <v>16</v>
      </c>
      <c r="J769" t="s">
        <v>78</v>
      </c>
      <c r="K769" t="s">
        <v>78</v>
      </c>
      <c r="L769" t="s">
        <v>78</v>
      </c>
      <c r="M769" t="s">
        <v>78</v>
      </c>
      <c r="N769" t="s">
        <v>78</v>
      </c>
      <c r="O769" t="s">
        <v>78</v>
      </c>
      <c r="P769" t="s">
        <v>78</v>
      </c>
      <c r="Q769" t="s">
        <v>78</v>
      </c>
      <c r="R769" t="s">
        <v>151</v>
      </c>
      <c r="S769" t="s">
        <v>573</v>
      </c>
    </row>
    <row r="770" spans="1:19" x14ac:dyDescent="0.35">
      <c r="A770" s="530" t="s">
        <v>256</v>
      </c>
      <c r="B770" s="530">
        <v>284960</v>
      </c>
      <c r="C770" s="530">
        <v>17000</v>
      </c>
      <c r="D770" s="530" t="s">
        <v>78</v>
      </c>
      <c r="E770" s="530" t="s">
        <v>421</v>
      </c>
      <c r="F770" s="530" t="s">
        <v>83</v>
      </c>
      <c r="G770" s="530" t="s">
        <v>283</v>
      </c>
      <c r="H770" s="530" t="s">
        <v>78</v>
      </c>
      <c r="I770" s="530" t="s">
        <v>16</v>
      </c>
      <c r="J770" s="530" t="s">
        <v>78</v>
      </c>
      <c r="K770" s="530" t="s">
        <v>78</v>
      </c>
      <c r="L770" s="530" t="s">
        <v>78</v>
      </c>
      <c r="M770" s="530" t="s">
        <v>78</v>
      </c>
      <c r="N770" s="530" t="s">
        <v>78</v>
      </c>
      <c r="O770" s="530"/>
      <c r="P770" s="530" t="s">
        <v>78</v>
      </c>
      <c r="Q770" s="530" t="s">
        <v>78</v>
      </c>
      <c r="R770" s="530" t="s">
        <v>78</v>
      </c>
      <c r="S770" s="530" t="s">
        <v>78</v>
      </c>
    </row>
    <row r="771" spans="1:19" x14ac:dyDescent="0.35">
      <c r="A771" s="531" t="s">
        <v>256</v>
      </c>
      <c r="B771" s="531">
        <v>1719200</v>
      </c>
      <c r="C771" s="531">
        <v>17000</v>
      </c>
      <c r="D771" s="531" t="s">
        <v>78</v>
      </c>
      <c r="E771" s="531" t="s">
        <v>376</v>
      </c>
      <c r="F771" s="531" t="s">
        <v>83</v>
      </c>
      <c r="G771" s="531" t="s">
        <v>301</v>
      </c>
      <c r="H771" s="531" t="s">
        <v>78</v>
      </c>
      <c r="I771" s="531" t="s">
        <v>16</v>
      </c>
      <c r="J771" s="531" t="s">
        <v>78</v>
      </c>
      <c r="K771" s="531" t="s">
        <v>78</v>
      </c>
      <c r="L771" s="531" t="s">
        <v>78</v>
      </c>
      <c r="M771" s="531" t="s">
        <v>78</v>
      </c>
      <c r="N771" s="531" t="s">
        <v>78</v>
      </c>
      <c r="O771" s="531"/>
      <c r="P771" s="531" t="s">
        <v>78</v>
      </c>
      <c r="Q771" s="531" t="s">
        <v>78</v>
      </c>
      <c r="R771" s="531" t="s">
        <v>78</v>
      </c>
      <c r="S771" s="531" t="s">
        <v>506</v>
      </c>
    </row>
    <row r="772" spans="1:19" x14ac:dyDescent="0.35">
      <c r="A772" s="531" t="s">
        <v>256</v>
      </c>
      <c r="B772" s="531">
        <v>1156760</v>
      </c>
      <c r="C772" s="531">
        <v>17000</v>
      </c>
      <c r="D772" s="531" t="s">
        <v>78</v>
      </c>
      <c r="E772" s="531" t="s">
        <v>376</v>
      </c>
      <c r="F772" s="531" t="s">
        <v>11</v>
      </c>
      <c r="G772" s="531" t="s">
        <v>301</v>
      </c>
      <c r="H772" s="531" t="s">
        <v>78</v>
      </c>
      <c r="I772" s="531" t="s">
        <v>16</v>
      </c>
      <c r="J772" s="531" t="s">
        <v>78</v>
      </c>
      <c r="K772" s="531" t="s">
        <v>78</v>
      </c>
      <c r="L772" s="531" t="s">
        <v>78</v>
      </c>
      <c r="M772" s="531" t="s">
        <v>78</v>
      </c>
      <c r="N772" s="531" t="s">
        <v>78</v>
      </c>
      <c r="O772" s="531"/>
      <c r="P772" s="531" t="s">
        <v>78</v>
      </c>
      <c r="Q772" s="531" t="s">
        <v>78</v>
      </c>
      <c r="R772" s="531" t="s">
        <v>78</v>
      </c>
      <c r="S772" s="531" t="s">
        <v>573</v>
      </c>
    </row>
    <row r="773" spans="1:19" x14ac:dyDescent="0.35">
      <c r="A773" t="s">
        <v>256</v>
      </c>
      <c r="B773">
        <v>772840</v>
      </c>
      <c r="C773">
        <v>24120</v>
      </c>
      <c r="D773" t="s">
        <v>78</v>
      </c>
      <c r="E773" t="s">
        <v>415</v>
      </c>
      <c r="F773" t="s">
        <v>11</v>
      </c>
      <c r="G773" t="s">
        <v>282</v>
      </c>
      <c r="H773" t="s">
        <v>78</v>
      </c>
      <c r="I773" t="s">
        <v>16</v>
      </c>
      <c r="J773" t="s">
        <v>78</v>
      </c>
      <c r="K773" t="s">
        <v>78</v>
      </c>
      <c r="L773" t="s">
        <v>78</v>
      </c>
      <c r="M773" t="s">
        <v>78</v>
      </c>
      <c r="N773" t="s">
        <v>78</v>
      </c>
      <c r="P773" t="s">
        <v>78</v>
      </c>
      <c r="Q773" t="s">
        <v>78</v>
      </c>
      <c r="R773" t="s">
        <v>78</v>
      </c>
      <c r="S773" t="s">
        <v>506</v>
      </c>
    </row>
    <row r="774" spans="1:19" x14ac:dyDescent="0.35">
      <c r="A774" t="s">
        <v>256</v>
      </c>
      <c r="B774">
        <v>1592680</v>
      </c>
      <c r="C774">
        <v>17000</v>
      </c>
      <c r="D774" t="s">
        <v>78</v>
      </c>
      <c r="E774" t="s">
        <v>415</v>
      </c>
      <c r="F774" t="s">
        <v>13</v>
      </c>
      <c r="G774" t="s">
        <v>78</v>
      </c>
      <c r="H774" t="s">
        <v>78</v>
      </c>
      <c r="I774" t="s">
        <v>16</v>
      </c>
      <c r="J774" t="s">
        <v>78</v>
      </c>
      <c r="K774" t="s">
        <v>78</v>
      </c>
      <c r="L774" t="s">
        <v>78</v>
      </c>
      <c r="M774" t="s">
        <v>78</v>
      </c>
      <c r="N774" t="s">
        <v>78</v>
      </c>
      <c r="O774" t="s">
        <v>78</v>
      </c>
      <c r="P774" t="s">
        <v>78</v>
      </c>
      <c r="Q774" t="s">
        <v>78</v>
      </c>
      <c r="R774" t="s">
        <v>78</v>
      </c>
      <c r="S774" t="s">
        <v>78</v>
      </c>
    </row>
    <row r="775" spans="1:19" x14ac:dyDescent="0.35">
      <c r="A775" s="531" t="s">
        <v>257</v>
      </c>
      <c r="B775" s="531">
        <v>348480</v>
      </c>
      <c r="C775" s="531">
        <v>17000</v>
      </c>
      <c r="D775" s="531" t="s">
        <v>78</v>
      </c>
      <c r="E775" s="531" t="s">
        <v>415</v>
      </c>
      <c r="F775" s="531" t="s">
        <v>105</v>
      </c>
      <c r="G775" s="531" t="s">
        <v>78</v>
      </c>
      <c r="H775" s="531" t="s">
        <v>78</v>
      </c>
      <c r="I775" s="531" t="s">
        <v>16</v>
      </c>
      <c r="J775" s="531" t="s">
        <v>78</v>
      </c>
      <c r="K775" s="531" t="s">
        <v>78</v>
      </c>
      <c r="L775" s="531" t="s">
        <v>78</v>
      </c>
      <c r="M775" s="531" t="s">
        <v>78</v>
      </c>
      <c r="N775" s="531" t="s">
        <v>78</v>
      </c>
      <c r="O775" s="531"/>
      <c r="P775" s="531" t="s">
        <v>78</v>
      </c>
      <c r="Q775" s="531" t="s">
        <v>78</v>
      </c>
      <c r="R775" s="531" t="s">
        <v>78</v>
      </c>
      <c r="S775" s="531" t="s">
        <v>506</v>
      </c>
    </row>
    <row r="776" spans="1:19" x14ac:dyDescent="0.35">
      <c r="A776" s="530" t="s">
        <v>257</v>
      </c>
      <c r="B776" s="530">
        <v>2212560</v>
      </c>
      <c r="C776" s="530">
        <v>17000</v>
      </c>
      <c r="D776" s="530" t="s">
        <v>78</v>
      </c>
      <c r="E776" s="530" t="s">
        <v>347</v>
      </c>
      <c r="F776" s="530" t="s">
        <v>11</v>
      </c>
      <c r="G776" s="530" t="s">
        <v>17</v>
      </c>
      <c r="H776" s="530" t="s">
        <v>78</v>
      </c>
      <c r="I776" s="530" t="s">
        <v>16</v>
      </c>
      <c r="J776" s="530" t="s">
        <v>78</v>
      </c>
      <c r="K776" s="530" t="s">
        <v>78</v>
      </c>
      <c r="L776" s="530" t="s">
        <v>78</v>
      </c>
      <c r="M776" s="530" t="s">
        <v>78</v>
      </c>
      <c r="N776" s="530" t="s">
        <v>78</v>
      </c>
      <c r="O776" s="530"/>
      <c r="P776" s="530" t="s">
        <v>78</v>
      </c>
      <c r="Q776" s="530" t="s">
        <v>78</v>
      </c>
      <c r="R776" s="530" t="s">
        <v>78</v>
      </c>
      <c r="S776" s="530" t="s">
        <v>566</v>
      </c>
    </row>
    <row r="777" spans="1:19" x14ac:dyDescent="0.35">
      <c r="A777" s="531" t="s">
        <v>257</v>
      </c>
      <c r="B777" s="531">
        <v>1267320</v>
      </c>
      <c r="C777" s="531">
        <v>17000</v>
      </c>
      <c r="D777" s="531" t="s">
        <v>78</v>
      </c>
      <c r="E777" s="531" t="s">
        <v>347</v>
      </c>
      <c r="F777" s="531" t="s">
        <v>10</v>
      </c>
      <c r="G777" s="531" t="s">
        <v>17</v>
      </c>
      <c r="H777" s="531" t="s">
        <v>78</v>
      </c>
      <c r="I777" s="531" t="s">
        <v>16</v>
      </c>
      <c r="J777" s="531" t="s">
        <v>78</v>
      </c>
      <c r="K777" s="531" t="s">
        <v>78</v>
      </c>
      <c r="L777" s="531" t="s">
        <v>78</v>
      </c>
      <c r="M777" s="531" t="s">
        <v>78</v>
      </c>
      <c r="N777" s="531" t="s">
        <v>78</v>
      </c>
      <c r="O777" s="531"/>
      <c r="P777" s="531" t="s">
        <v>78</v>
      </c>
      <c r="Q777" s="531" t="s">
        <v>78</v>
      </c>
      <c r="R777" s="531" t="s">
        <v>78</v>
      </c>
      <c r="S777" s="531" t="s">
        <v>506</v>
      </c>
    </row>
    <row r="778" spans="1:19" x14ac:dyDescent="0.35">
      <c r="A778" t="s">
        <v>257</v>
      </c>
      <c r="B778">
        <v>843880</v>
      </c>
      <c r="C778">
        <v>17000</v>
      </c>
      <c r="D778" t="s">
        <v>78</v>
      </c>
      <c r="E778" t="s">
        <v>346</v>
      </c>
      <c r="F778" t="s">
        <v>79</v>
      </c>
      <c r="G778" t="s">
        <v>78</v>
      </c>
      <c r="H778" t="s">
        <v>78</v>
      </c>
      <c r="I778" t="s">
        <v>16</v>
      </c>
      <c r="J778" t="s">
        <v>78</v>
      </c>
      <c r="K778" t="s">
        <v>78</v>
      </c>
      <c r="L778" t="s">
        <v>78</v>
      </c>
      <c r="M778" t="s">
        <v>78</v>
      </c>
      <c r="N778" t="s">
        <v>78</v>
      </c>
      <c r="P778" t="s">
        <v>78</v>
      </c>
      <c r="Q778" t="s">
        <v>78</v>
      </c>
      <c r="R778" t="s">
        <v>218</v>
      </c>
      <c r="S778" t="s">
        <v>566</v>
      </c>
    </row>
    <row r="779" spans="1:19" x14ac:dyDescent="0.35">
      <c r="A779" t="s">
        <v>257</v>
      </c>
      <c r="B779">
        <v>0</v>
      </c>
      <c r="C779">
        <v>15680</v>
      </c>
      <c r="D779" t="s">
        <v>78</v>
      </c>
      <c r="E779" t="s">
        <v>344</v>
      </c>
      <c r="F779" t="s">
        <v>13</v>
      </c>
      <c r="G779" t="s">
        <v>78</v>
      </c>
      <c r="H779" t="s">
        <v>78</v>
      </c>
      <c r="I779" t="s">
        <v>16</v>
      </c>
      <c r="J779" t="s">
        <v>78</v>
      </c>
      <c r="K779" t="s">
        <v>78</v>
      </c>
      <c r="L779" t="s">
        <v>78</v>
      </c>
      <c r="M779" t="s">
        <v>78</v>
      </c>
      <c r="N779" t="s">
        <v>78</v>
      </c>
      <c r="O779" t="s">
        <v>78</v>
      </c>
      <c r="P779" t="s">
        <v>78</v>
      </c>
      <c r="Q779" t="s">
        <v>78</v>
      </c>
      <c r="R779" t="s">
        <v>78</v>
      </c>
      <c r="S779" t="s">
        <v>78</v>
      </c>
    </row>
    <row r="780" spans="1:19" x14ac:dyDescent="0.35">
      <c r="A780" s="530" t="s">
        <v>354</v>
      </c>
      <c r="B780" s="530">
        <v>302640</v>
      </c>
      <c r="C780" s="530">
        <v>17000</v>
      </c>
      <c r="D780" s="530" t="s">
        <v>78</v>
      </c>
      <c r="E780" s="530" t="s">
        <v>415</v>
      </c>
      <c r="F780" s="530" t="s">
        <v>11</v>
      </c>
      <c r="G780" s="530" t="s">
        <v>282</v>
      </c>
      <c r="H780" s="530" t="s">
        <v>78</v>
      </c>
      <c r="I780" s="530" t="s">
        <v>16</v>
      </c>
      <c r="J780" s="530" t="s">
        <v>78</v>
      </c>
      <c r="K780" s="530" t="s">
        <v>78</v>
      </c>
      <c r="L780" s="530" t="s">
        <v>78</v>
      </c>
      <c r="M780" s="530" t="s">
        <v>78</v>
      </c>
      <c r="N780" s="530" t="s">
        <v>78</v>
      </c>
      <c r="O780" s="530"/>
      <c r="P780" s="530" t="s">
        <v>78</v>
      </c>
      <c r="Q780" s="530" t="s">
        <v>78</v>
      </c>
      <c r="R780" s="530" t="s">
        <v>78</v>
      </c>
      <c r="S780" s="530" t="s">
        <v>419</v>
      </c>
    </row>
    <row r="781" spans="1:19" x14ac:dyDescent="0.35">
      <c r="A781" s="530" t="s">
        <v>354</v>
      </c>
      <c r="B781" s="530">
        <v>167360</v>
      </c>
      <c r="C781" s="530">
        <v>17000</v>
      </c>
      <c r="D781" s="530" t="s">
        <v>78</v>
      </c>
      <c r="E781" s="530" t="s">
        <v>346</v>
      </c>
      <c r="F781" s="530" t="s">
        <v>79</v>
      </c>
      <c r="G781" s="530" t="s">
        <v>78</v>
      </c>
      <c r="H781" s="530" t="s">
        <v>78</v>
      </c>
      <c r="I781" s="530" t="s">
        <v>16</v>
      </c>
      <c r="J781" s="530" t="s">
        <v>78</v>
      </c>
      <c r="K781" s="530" t="s">
        <v>78</v>
      </c>
      <c r="L781" s="530" t="s">
        <v>78</v>
      </c>
      <c r="M781" s="530" t="s">
        <v>78</v>
      </c>
      <c r="N781" s="530" t="s">
        <v>78</v>
      </c>
      <c r="O781" s="530"/>
      <c r="P781" s="530" t="s">
        <v>78</v>
      </c>
      <c r="Q781" s="530" t="s">
        <v>78</v>
      </c>
      <c r="R781" s="530" t="s">
        <v>315</v>
      </c>
      <c r="S781" s="530" t="s">
        <v>418</v>
      </c>
    </row>
    <row r="782" spans="1:19" x14ac:dyDescent="0.35">
      <c r="A782" t="s">
        <v>354</v>
      </c>
      <c r="B782">
        <v>1051200</v>
      </c>
      <c r="C782">
        <v>17000</v>
      </c>
      <c r="D782" t="s">
        <v>78</v>
      </c>
      <c r="E782" t="s">
        <v>562</v>
      </c>
      <c r="F782" t="s">
        <v>11</v>
      </c>
      <c r="G782" t="s">
        <v>297</v>
      </c>
      <c r="H782" t="s">
        <v>78</v>
      </c>
      <c r="I782" t="s">
        <v>16</v>
      </c>
      <c r="J782" t="s">
        <v>78</v>
      </c>
      <c r="K782" t="s">
        <v>78</v>
      </c>
      <c r="L782" t="s">
        <v>78</v>
      </c>
      <c r="M782" t="s">
        <v>78</v>
      </c>
      <c r="N782" t="s">
        <v>78</v>
      </c>
      <c r="P782" t="s">
        <v>78</v>
      </c>
      <c r="Q782" t="s">
        <v>78</v>
      </c>
      <c r="R782" t="s">
        <v>78</v>
      </c>
      <c r="S782" t="s">
        <v>418</v>
      </c>
    </row>
    <row r="783" spans="1:19" x14ac:dyDescent="0.35">
      <c r="A783" t="s">
        <v>354</v>
      </c>
      <c r="B783">
        <v>518760</v>
      </c>
      <c r="C783">
        <v>17000</v>
      </c>
      <c r="D783" t="s">
        <v>78</v>
      </c>
      <c r="E783" t="s">
        <v>78</v>
      </c>
      <c r="F783" t="s">
        <v>13</v>
      </c>
      <c r="G783" t="s">
        <v>78</v>
      </c>
      <c r="H783" t="s">
        <v>78</v>
      </c>
      <c r="I783" t="s">
        <v>16</v>
      </c>
      <c r="J783" t="s">
        <v>78</v>
      </c>
      <c r="K783" t="s">
        <v>78</v>
      </c>
      <c r="L783" t="s">
        <v>78</v>
      </c>
      <c r="M783" t="s">
        <v>78</v>
      </c>
      <c r="N783" t="s">
        <v>78</v>
      </c>
      <c r="O783" t="s">
        <v>78</v>
      </c>
      <c r="P783" t="s">
        <v>78</v>
      </c>
      <c r="Q783" t="s">
        <v>78</v>
      </c>
      <c r="R783" t="s">
        <v>78</v>
      </c>
      <c r="S783" t="s">
        <v>573</v>
      </c>
    </row>
    <row r="784" spans="1:19" x14ac:dyDescent="0.35">
      <c r="A784" s="531" t="s">
        <v>355</v>
      </c>
      <c r="B784" s="531">
        <v>521280</v>
      </c>
      <c r="C784" s="531">
        <v>17000</v>
      </c>
      <c r="D784" s="531" t="s">
        <v>78</v>
      </c>
      <c r="E784" s="531" t="s">
        <v>415</v>
      </c>
      <c r="F784" s="531" t="s">
        <v>11</v>
      </c>
      <c r="G784" s="531" t="s">
        <v>302</v>
      </c>
      <c r="H784" s="531" t="s">
        <v>78</v>
      </c>
      <c r="I784" s="531" t="s">
        <v>16</v>
      </c>
      <c r="J784" s="531" t="s">
        <v>78</v>
      </c>
      <c r="K784" s="531" t="s">
        <v>78</v>
      </c>
      <c r="L784" s="531" t="s">
        <v>78</v>
      </c>
      <c r="M784" s="531" t="s">
        <v>78</v>
      </c>
      <c r="N784" s="531" t="s">
        <v>78</v>
      </c>
      <c r="O784" s="531"/>
      <c r="P784" s="531" t="s">
        <v>78</v>
      </c>
      <c r="Q784" s="531" t="s">
        <v>78</v>
      </c>
      <c r="R784" s="531" t="s">
        <v>78</v>
      </c>
      <c r="S784" s="531" t="s">
        <v>419</v>
      </c>
    </row>
    <row r="785" spans="1:19" x14ac:dyDescent="0.35">
      <c r="A785" s="530" t="s">
        <v>355</v>
      </c>
      <c r="B785" s="530">
        <v>209080</v>
      </c>
      <c r="C785" s="530">
        <v>17000</v>
      </c>
      <c r="D785" s="530" t="s">
        <v>78</v>
      </c>
      <c r="E785" s="530" t="s">
        <v>421</v>
      </c>
      <c r="F785" s="530" t="s">
        <v>13</v>
      </c>
      <c r="G785" s="530" t="s">
        <v>78</v>
      </c>
      <c r="H785" s="530" t="s">
        <v>78</v>
      </c>
      <c r="I785" s="530" t="s">
        <v>16</v>
      </c>
      <c r="J785" s="530" t="s">
        <v>78</v>
      </c>
      <c r="K785" s="530" t="s">
        <v>78</v>
      </c>
      <c r="L785" s="530" t="s">
        <v>78</v>
      </c>
      <c r="M785" s="530" t="s">
        <v>78</v>
      </c>
      <c r="N785" s="530" t="s">
        <v>78</v>
      </c>
      <c r="O785" s="530"/>
      <c r="P785" s="530" t="s">
        <v>78</v>
      </c>
      <c r="Q785" s="530" t="s">
        <v>78</v>
      </c>
      <c r="R785" s="530" t="s">
        <v>78</v>
      </c>
      <c r="S785" s="530" t="s">
        <v>506</v>
      </c>
    </row>
    <row r="786" spans="1:19" x14ac:dyDescent="0.35">
      <c r="A786" t="s">
        <v>355</v>
      </c>
      <c r="B786">
        <v>1111320</v>
      </c>
      <c r="C786">
        <v>17000</v>
      </c>
      <c r="D786" t="s">
        <v>78</v>
      </c>
      <c r="E786" t="s">
        <v>344</v>
      </c>
      <c r="F786" t="s">
        <v>277</v>
      </c>
      <c r="G786" t="s">
        <v>308</v>
      </c>
      <c r="H786" t="s">
        <v>78</v>
      </c>
      <c r="I786" t="s">
        <v>16</v>
      </c>
      <c r="J786" t="s">
        <v>78</v>
      </c>
      <c r="K786" t="s">
        <v>78</v>
      </c>
      <c r="L786" t="s">
        <v>78</v>
      </c>
      <c r="M786" t="s">
        <v>78</v>
      </c>
      <c r="N786" t="s">
        <v>78</v>
      </c>
      <c r="P786" t="s">
        <v>78</v>
      </c>
      <c r="Q786" t="s">
        <v>78</v>
      </c>
      <c r="R786" t="s">
        <v>78</v>
      </c>
      <c r="S786" t="s">
        <v>418</v>
      </c>
    </row>
    <row r="787" spans="1:19" x14ac:dyDescent="0.35">
      <c r="A787" t="s">
        <v>355</v>
      </c>
      <c r="B787">
        <v>905440</v>
      </c>
      <c r="C787">
        <v>17000</v>
      </c>
      <c r="D787" t="s">
        <v>78</v>
      </c>
      <c r="E787" t="s">
        <v>439</v>
      </c>
      <c r="F787" t="s">
        <v>105</v>
      </c>
      <c r="G787" t="s">
        <v>78</v>
      </c>
      <c r="H787" t="s">
        <v>78</v>
      </c>
      <c r="I787" t="s">
        <v>16</v>
      </c>
      <c r="J787" t="s">
        <v>78</v>
      </c>
      <c r="K787" t="s">
        <v>78</v>
      </c>
      <c r="L787" t="s">
        <v>78</v>
      </c>
      <c r="M787" t="s">
        <v>78</v>
      </c>
      <c r="N787" t="s">
        <v>78</v>
      </c>
      <c r="O787" t="s">
        <v>78</v>
      </c>
      <c r="P787" t="s">
        <v>78</v>
      </c>
      <c r="Q787" t="s">
        <v>78</v>
      </c>
      <c r="R787" t="s">
        <v>78</v>
      </c>
      <c r="S787" t="s">
        <v>78</v>
      </c>
    </row>
    <row r="788" spans="1:19" x14ac:dyDescent="0.35">
      <c r="A788" s="531" t="s">
        <v>260</v>
      </c>
      <c r="B788" s="531">
        <v>354440</v>
      </c>
      <c r="C788" s="531">
        <v>17000</v>
      </c>
      <c r="D788" s="531" t="s">
        <v>78</v>
      </c>
      <c r="E788" s="531" t="s">
        <v>344</v>
      </c>
      <c r="F788" s="531" t="s">
        <v>78</v>
      </c>
      <c r="G788" s="531" t="s">
        <v>78</v>
      </c>
      <c r="H788" s="531" t="s">
        <v>78</v>
      </c>
      <c r="I788" s="531" t="s">
        <v>78</v>
      </c>
      <c r="J788" s="531" t="s">
        <v>78</v>
      </c>
      <c r="K788" s="531" t="s">
        <v>78</v>
      </c>
      <c r="L788" s="531" t="s">
        <v>78</v>
      </c>
      <c r="M788" s="531" t="s">
        <v>78</v>
      </c>
      <c r="N788" s="531" t="s">
        <v>78</v>
      </c>
      <c r="O788" s="531"/>
      <c r="P788" s="531" t="s">
        <v>78</v>
      </c>
      <c r="Q788" s="531" t="s">
        <v>507</v>
      </c>
      <c r="R788" s="531" t="s">
        <v>78</v>
      </c>
      <c r="S788" s="531" t="s">
        <v>78</v>
      </c>
    </row>
    <row r="789" spans="1:19" x14ac:dyDescent="0.35">
      <c r="A789" s="531" t="s">
        <v>260</v>
      </c>
      <c r="B789" s="531">
        <v>690080</v>
      </c>
      <c r="C789" s="531">
        <v>17000</v>
      </c>
      <c r="D789" s="531" t="s">
        <v>78</v>
      </c>
      <c r="E789" s="531" t="s">
        <v>415</v>
      </c>
      <c r="F789" s="531" t="s">
        <v>78</v>
      </c>
      <c r="G789" s="531" t="s">
        <v>78</v>
      </c>
      <c r="H789" s="531" t="s">
        <v>78</v>
      </c>
      <c r="I789" s="531" t="s">
        <v>78</v>
      </c>
      <c r="J789" s="531" t="s">
        <v>78</v>
      </c>
      <c r="K789" s="531" t="s">
        <v>78</v>
      </c>
      <c r="L789" s="531" t="s">
        <v>78</v>
      </c>
      <c r="M789" s="531" t="s">
        <v>78</v>
      </c>
      <c r="N789" s="531" t="s">
        <v>78</v>
      </c>
      <c r="O789" s="531"/>
      <c r="P789" s="531" t="s">
        <v>78</v>
      </c>
      <c r="Q789" s="531" t="s">
        <v>357</v>
      </c>
      <c r="R789" s="531" t="s">
        <v>78</v>
      </c>
      <c r="S789" s="531" t="s">
        <v>78</v>
      </c>
    </row>
    <row r="790" spans="1:19" x14ac:dyDescent="0.35">
      <c r="A790" s="531" t="s">
        <v>260</v>
      </c>
      <c r="B790" s="531">
        <v>46240</v>
      </c>
      <c r="C790" s="531">
        <v>17000</v>
      </c>
      <c r="D790" s="531" t="s">
        <v>78</v>
      </c>
      <c r="E790" s="531" t="s">
        <v>415</v>
      </c>
      <c r="F790" s="531" t="s">
        <v>78</v>
      </c>
      <c r="G790" s="531" t="s">
        <v>78</v>
      </c>
      <c r="H790" s="531" t="s">
        <v>78</v>
      </c>
      <c r="I790" s="531" t="s">
        <v>78</v>
      </c>
      <c r="J790" s="531" t="s">
        <v>78</v>
      </c>
      <c r="K790" s="531" t="s">
        <v>78</v>
      </c>
      <c r="L790" s="531" t="s">
        <v>78</v>
      </c>
      <c r="M790" s="531" t="s">
        <v>78</v>
      </c>
      <c r="N790" s="531" t="s">
        <v>78</v>
      </c>
      <c r="O790" s="531"/>
      <c r="P790" s="531" t="s">
        <v>78</v>
      </c>
      <c r="Q790" s="531" t="s">
        <v>17</v>
      </c>
      <c r="R790" s="531" t="s">
        <v>78</v>
      </c>
      <c r="S790" s="531" t="s">
        <v>78</v>
      </c>
    </row>
    <row r="791" spans="1:19" x14ac:dyDescent="0.35">
      <c r="A791" t="s">
        <v>260</v>
      </c>
      <c r="B791">
        <v>238560</v>
      </c>
      <c r="C791">
        <v>17000</v>
      </c>
      <c r="D791" t="s">
        <v>78</v>
      </c>
      <c r="E791" t="s">
        <v>415</v>
      </c>
      <c r="F791" t="s">
        <v>78</v>
      </c>
      <c r="G791" t="s">
        <v>78</v>
      </c>
      <c r="H791" t="s">
        <v>78</v>
      </c>
      <c r="I791" t="s">
        <v>78</v>
      </c>
      <c r="J791" t="s">
        <v>78</v>
      </c>
      <c r="K791" t="s">
        <v>78</v>
      </c>
      <c r="L791" t="s">
        <v>78</v>
      </c>
      <c r="M791" t="s">
        <v>78</v>
      </c>
      <c r="N791" t="s">
        <v>78</v>
      </c>
      <c r="P791" t="s">
        <v>78</v>
      </c>
      <c r="Q791" t="s">
        <v>15</v>
      </c>
      <c r="R791" t="s">
        <v>78</v>
      </c>
      <c r="S791" t="s">
        <v>78</v>
      </c>
    </row>
    <row r="792" spans="1:19" x14ac:dyDescent="0.35">
      <c r="A792" t="s">
        <v>260</v>
      </c>
      <c r="B792">
        <v>443840</v>
      </c>
      <c r="C792">
        <v>17000</v>
      </c>
      <c r="D792" t="s">
        <v>78</v>
      </c>
      <c r="E792" t="s">
        <v>376</v>
      </c>
      <c r="F792" t="s">
        <v>78</v>
      </c>
      <c r="G792" t="s">
        <v>78</v>
      </c>
      <c r="H792" t="s">
        <v>78</v>
      </c>
      <c r="I792" t="s">
        <v>78</v>
      </c>
      <c r="J792" t="s">
        <v>78</v>
      </c>
      <c r="K792" t="s">
        <v>78</v>
      </c>
      <c r="L792" t="s">
        <v>78</v>
      </c>
      <c r="M792" t="s">
        <v>78</v>
      </c>
      <c r="N792" t="s">
        <v>78</v>
      </c>
      <c r="O792" t="s">
        <v>78</v>
      </c>
      <c r="P792" t="s">
        <v>78</v>
      </c>
      <c r="Q792" t="s">
        <v>17</v>
      </c>
      <c r="R792" t="s">
        <v>78</v>
      </c>
      <c r="S792" t="s">
        <v>78</v>
      </c>
    </row>
    <row r="793" spans="1:19" x14ac:dyDescent="0.35">
      <c r="A793" s="530" t="s">
        <v>270</v>
      </c>
      <c r="B793" s="530">
        <v>709600</v>
      </c>
      <c r="C793" s="530">
        <v>17000</v>
      </c>
      <c r="D793" s="530" t="s">
        <v>78</v>
      </c>
      <c r="E793" s="530" t="s">
        <v>377</v>
      </c>
      <c r="F793" s="530" t="s">
        <v>78</v>
      </c>
      <c r="G793" s="530" t="s">
        <v>78</v>
      </c>
      <c r="H793" s="530" t="s">
        <v>78</v>
      </c>
      <c r="I793" s="530" t="s">
        <v>78</v>
      </c>
      <c r="J793" s="530" t="s">
        <v>78</v>
      </c>
      <c r="K793" s="530" t="s">
        <v>78</v>
      </c>
      <c r="L793" s="530" t="s">
        <v>78</v>
      </c>
      <c r="M793" s="530" t="s">
        <v>78</v>
      </c>
      <c r="N793" s="530" t="s">
        <v>78</v>
      </c>
      <c r="O793" s="530"/>
      <c r="P793" s="530" t="s">
        <v>78</v>
      </c>
      <c r="Q793" s="530" t="s">
        <v>218</v>
      </c>
      <c r="R793" s="530" t="s">
        <v>78</v>
      </c>
      <c r="S793" s="530" t="s">
        <v>78</v>
      </c>
    </row>
    <row r="794" spans="1:19" x14ac:dyDescent="0.35">
      <c r="A794" s="531" t="s">
        <v>270</v>
      </c>
      <c r="B794" s="531">
        <v>1907280</v>
      </c>
      <c r="C794" s="531">
        <v>17000</v>
      </c>
      <c r="D794" s="531" t="s">
        <v>78</v>
      </c>
      <c r="E794" s="531" t="s">
        <v>376</v>
      </c>
      <c r="F794" s="531" t="s">
        <v>78</v>
      </c>
      <c r="G794" s="531" t="s">
        <v>78</v>
      </c>
      <c r="H794" s="531" t="s">
        <v>78</v>
      </c>
      <c r="I794" s="531" t="s">
        <v>78</v>
      </c>
      <c r="J794" s="531" t="s">
        <v>78</v>
      </c>
      <c r="K794" s="531" t="s">
        <v>78</v>
      </c>
      <c r="L794" s="531" t="s">
        <v>78</v>
      </c>
      <c r="M794" s="531" t="s">
        <v>78</v>
      </c>
      <c r="N794" s="531" t="s">
        <v>78</v>
      </c>
      <c r="O794" s="531"/>
      <c r="P794" s="531" t="s">
        <v>78</v>
      </c>
      <c r="Q794" s="531" t="s">
        <v>151</v>
      </c>
      <c r="R794" s="531" t="s">
        <v>78</v>
      </c>
      <c r="S794" s="531" t="s">
        <v>78</v>
      </c>
    </row>
    <row r="795" spans="1:19" x14ac:dyDescent="0.35">
      <c r="A795" t="s">
        <v>270</v>
      </c>
      <c r="B795">
        <v>60840</v>
      </c>
      <c r="C795">
        <v>17000</v>
      </c>
      <c r="D795" t="s">
        <v>78</v>
      </c>
      <c r="E795" t="s">
        <v>439</v>
      </c>
      <c r="F795" t="s">
        <v>78</v>
      </c>
      <c r="G795" t="s">
        <v>78</v>
      </c>
      <c r="H795" t="s">
        <v>78</v>
      </c>
      <c r="I795" t="s">
        <v>78</v>
      </c>
      <c r="J795" t="s">
        <v>78</v>
      </c>
      <c r="K795" t="s">
        <v>78</v>
      </c>
      <c r="L795" t="s">
        <v>78</v>
      </c>
      <c r="M795" t="s">
        <v>78</v>
      </c>
      <c r="N795" t="s">
        <v>78</v>
      </c>
      <c r="P795" t="s">
        <v>78</v>
      </c>
      <c r="Q795" t="s">
        <v>151</v>
      </c>
      <c r="R795" t="s">
        <v>78</v>
      </c>
      <c r="S795" t="s">
        <v>78</v>
      </c>
    </row>
    <row r="796" spans="1:19" x14ac:dyDescent="0.35">
      <c r="A796" t="s">
        <v>270</v>
      </c>
      <c r="B796">
        <v>133840</v>
      </c>
      <c r="C796">
        <v>17000</v>
      </c>
      <c r="D796" t="s">
        <v>78</v>
      </c>
      <c r="E796" t="s">
        <v>415</v>
      </c>
      <c r="F796" t="s">
        <v>78</v>
      </c>
      <c r="G796" t="s">
        <v>78</v>
      </c>
      <c r="H796" t="s">
        <v>78</v>
      </c>
      <c r="I796" t="s">
        <v>78</v>
      </c>
      <c r="J796" t="s">
        <v>78</v>
      </c>
      <c r="K796" t="s">
        <v>78</v>
      </c>
      <c r="L796" t="s">
        <v>78</v>
      </c>
      <c r="M796" t="s">
        <v>78</v>
      </c>
      <c r="N796" t="s">
        <v>78</v>
      </c>
      <c r="O796" t="s">
        <v>78</v>
      </c>
      <c r="P796" t="s">
        <v>78</v>
      </c>
      <c r="Q796" t="s">
        <v>17</v>
      </c>
      <c r="R796" t="s">
        <v>78</v>
      </c>
      <c r="S796" t="s">
        <v>78</v>
      </c>
    </row>
    <row r="797" spans="1:19" x14ac:dyDescent="0.35">
      <c r="A797" s="531" t="s">
        <v>271</v>
      </c>
      <c r="B797" s="531">
        <v>861160</v>
      </c>
      <c r="C797" s="531">
        <v>17000</v>
      </c>
      <c r="D797" s="531" t="s">
        <v>78</v>
      </c>
      <c r="E797" s="531" t="s">
        <v>344</v>
      </c>
      <c r="F797" s="531" t="s">
        <v>78</v>
      </c>
      <c r="G797" s="531" t="s">
        <v>78</v>
      </c>
      <c r="H797" s="531" t="s">
        <v>78</v>
      </c>
      <c r="I797" s="531" t="s">
        <v>78</v>
      </c>
      <c r="J797" s="531" t="s">
        <v>78</v>
      </c>
      <c r="K797" s="531" t="s">
        <v>78</v>
      </c>
      <c r="L797" s="531" t="s">
        <v>78</v>
      </c>
      <c r="M797" s="531" t="s">
        <v>78</v>
      </c>
      <c r="N797" s="531" t="s">
        <v>78</v>
      </c>
      <c r="O797" s="531"/>
      <c r="P797" s="531" t="s">
        <v>78</v>
      </c>
      <c r="Q797" s="531" t="s">
        <v>507</v>
      </c>
      <c r="R797" s="531" t="s">
        <v>78</v>
      </c>
      <c r="S797" s="531" t="s">
        <v>78</v>
      </c>
    </row>
    <row r="798" spans="1:19" x14ac:dyDescent="0.35">
      <c r="A798" s="530" t="s">
        <v>271</v>
      </c>
      <c r="B798" s="530">
        <v>2027760</v>
      </c>
      <c r="C798" s="530">
        <v>17000</v>
      </c>
      <c r="D798" s="530" t="s">
        <v>78</v>
      </c>
      <c r="E798" s="530" t="s">
        <v>415</v>
      </c>
      <c r="F798" s="530" t="s">
        <v>78</v>
      </c>
      <c r="G798" s="530" t="s">
        <v>78</v>
      </c>
      <c r="H798" s="530" t="s">
        <v>78</v>
      </c>
      <c r="I798" s="530" t="s">
        <v>78</v>
      </c>
      <c r="J798" s="530" t="s">
        <v>78</v>
      </c>
      <c r="K798" s="530" t="s">
        <v>78</v>
      </c>
      <c r="L798" s="530" t="s">
        <v>78</v>
      </c>
      <c r="M798" s="530" t="s">
        <v>78</v>
      </c>
      <c r="N798" s="530" t="s">
        <v>78</v>
      </c>
      <c r="O798" s="530"/>
      <c r="P798" s="530" t="s">
        <v>78</v>
      </c>
      <c r="Q798" s="530" t="s">
        <v>209</v>
      </c>
      <c r="R798" s="530" t="s">
        <v>78</v>
      </c>
      <c r="S798" s="530" t="s">
        <v>78</v>
      </c>
    </row>
    <row r="799" spans="1:19" x14ac:dyDescent="0.35">
      <c r="A799" t="s">
        <v>271</v>
      </c>
      <c r="B799">
        <v>131640</v>
      </c>
      <c r="C799">
        <v>17000</v>
      </c>
      <c r="D799" t="s">
        <v>78</v>
      </c>
      <c r="E799" t="s">
        <v>347</v>
      </c>
      <c r="F799" t="s">
        <v>78</v>
      </c>
      <c r="G799" t="s">
        <v>78</v>
      </c>
      <c r="H799" t="s">
        <v>78</v>
      </c>
      <c r="I799" t="s">
        <v>78</v>
      </c>
      <c r="J799" t="s">
        <v>78</v>
      </c>
      <c r="K799" t="s">
        <v>78</v>
      </c>
      <c r="L799" t="s">
        <v>78</v>
      </c>
      <c r="M799" t="s">
        <v>78</v>
      </c>
      <c r="N799" t="s">
        <v>78</v>
      </c>
      <c r="P799" t="s">
        <v>78</v>
      </c>
      <c r="Q799" t="s">
        <v>151</v>
      </c>
      <c r="R799" t="s">
        <v>78</v>
      </c>
      <c r="S799" t="s">
        <v>78</v>
      </c>
    </row>
    <row r="800" spans="1:19" x14ac:dyDescent="0.35">
      <c r="A800" t="s">
        <v>271</v>
      </c>
      <c r="B800">
        <v>263160</v>
      </c>
      <c r="C800">
        <v>17000</v>
      </c>
      <c r="D800" t="s">
        <v>78</v>
      </c>
      <c r="E800" t="s">
        <v>415</v>
      </c>
      <c r="F800" t="s">
        <v>78</v>
      </c>
      <c r="G800" t="s">
        <v>78</v>
      </c>
      <c r="H800" t="s">
        <v>78</v>
      </c>
      <c r="I800" t="s">
        <v>78</v>
      </c>
      <c r="J800" t="s">
        <v>78</v>
      </c>
      <c r="K800" t="s">
        <v>78</v>
      </c>
      <c r="L800" t="s">
        <v>78</v>
      </c>
      <c r="M800" t="s">
        <v>78</v>
      </c>
      <c r="N800" t="s">
        <v>78</v>
      </c>
      <c r="O800" t="s">
        <v>78</v>
      </c>
      <c r="P800" t="s">
        <v>78</v>
      </c>
      <c r="Q800" t="s">
        <v>15</v>
      </c>
      <c r="R800" t="s">
        <v>78</v>
      </c>
      <c r="S800" t="s">
        <v>78</v>
      </c>
    </row>
    <row r="801" spans="1:19" x14ac:dyDescent="0.35">
      <c r="A801" s="530" t="s">
        <v>272</v>
      </c>
      <c r="B801" s="530">
        <v>1011440</v>
      </c>
      <c r="C801" s="530">
        <v>17000</v>
      </c>
      <c r="D801" s="530" t="s">
        <v>78</v>
      </c>
      <c r="E801" s="530" t="s">
        <v>344</v>
      </c>
      <c r="F801" s="530" t="s">
        <v>78</v>
      </c>
      <c r="G801" s="530" t="s">
        <v>78</v>
      </c>
      <c r="H801" s="530" t="s">
        <v>78</v>
      </c>
      <c r="I801" s="530" t="s">
        <v>78</v>
      </c>
      <c r="J801" s="530" t="s">
        <v>78</v>
      </c>
      <c r="K801" s="530" t="s">
        <v>78</v>
      </c>
      <c r="L801" s="530" t="s">
        <v>78</v>
      </c>
      <c r="M801" s="530" t="s">
        <v>78</v>
      </c>
      <c r="N801" s="530" t="s">
        <v>78</v>
      </c>
      <c r="O801" s="530"/>
      <c r="P801" s="530" t="s">
        <v>78</v>
      </c>
      <c r="Q801" s="530" t="s">
        <v>507</v>
      </c>
      <c r="R801" s="530" t="s">
        <v>78</v>
      </c>
      <c r="S801" s="530" t="s">
        <v>78</v>
      </c>
    </row>
    <row r="802" spans="1:19" x14ac:dyDescent="0.35">
      <c r="A802" s="530" t="s">
        <v>272</v>
      </c>
      <c r="B802" s="530">
        <v>2065240</v>
      </c>
      <c r="C802" s="530">
        <v>17000</v>
      </c>
      <c r="D802" s="530" t="s">
        <v>78</v>
      </c>
      <c r="E802" s="530" t="s">
        <v>376</v>
      </c>
      <c r="F802" s="530" t="s">
        <v>78</v>
      </c>
      <c r="G802" s="530" t="s">
        <v>78</v>
      </c>
      <c r="H802" s="530" t="s">
        <v>78</v>
      </c>
      <c r="I802" s="530" t="s">
        <v>78</v>
      </c>
      <c r="J802" s="530" t="s">
        <v>78</v>
      </c>
      <c r="K802" s="530" t="s">
        <v>78</v>
      </c>
      <c r="L802" s="530" t="s">
        <v>78</v>
      </c>
      <c r="M802" s="530" t="s">
        <v>78</v>
      </c>
      <c r="N802" s="530" t="s">
        <v>78</v>
      </c>
      <c r="O802" s="530"/>
      <c r="P802" s="530" t="s">
        <v>78</v>
      </c>
      <c r="Q802" s="530" t="s">
        <v>218</v>
      </c>
      <c r="R802" s="530" t="s">
        <v>78</v>
      </c>
      <c r="S802" s="530" t="s">
        <v>78</v>
      </c>
    </row>
    <row r="803" spans="1:19" x14ac:dyDescent="0.35">
      <c r="A803" t="s">
        <v>272</v>
      </c>
      <c r="B803">
        <v>315840</v>
      </c>
      <c r="C803">
        <v>17000</v>
      </c>
      <c r="D803" t="s">
        <v>78</v>
      </c>
      <c r="E803" t="s">
        <v>439</v>
      </c>
      <c r="F803" t="s">
        <v>78</v>
      </c>
      <c r="G803" t="s">
        <v>78</v>
      </c>
      <c r="H803" t="s">
        <v>78</v>
      </c>
      <c r="I803" t="s">
        <v>78</v>
      </c>
      <c r="J803" t="s">
        <v>78</v>
      </c>
      <c r="K803" t="s">
        <v>78</v>
      </c>
      <c r="L803" t="s">
        <v>78</v>
      </c>
      <c r="M803" t="s">
        <v>78</v>
      </c>
      <c r="N803" t="s">
        <v>78</v>
      </c>
      <c r="P803" t="s">
        <v>78</v>
      </c>
      <c r="Q803" t="s">
        <v>151</v>
      </c>
      <c r="R803" t="s">
        <v>78</v>
      </c>
      <c r="S803" t="s">
        <v>78</v>
      </c>
    </row>
    <row r="804" spans="1:19" x14ac:dyDescent="0.35">
      <c r="A804" t="s">
        <v>272</v>
      </c>
      <c r="B804">
        <v>341760</v>
      </c>
      <c r="C804">
        <v>17000</v>
      </c>
      <c r="D804" t="s">
        <v>78</v>
      </c>
      <c r="E804" t="s">
        <v>415</v>
      </c>
      <c r="F804" t="s">
        <v>78</v>
      </c>
      <c r="G804" t="s">
        <v>78</v>
      </c>
      <c r="H804" t="s">
        <v>78</v>
      </c>
      <c r="I804" t="s">
        <v>78</v>
      </c>
      <c r="J804" t="s">
        <v>78</v>
      </c>
      <c r="K804" t="s">
        <v>78</v>
      </c>
      <c r="L804" t="s">
        <v>78</v>
      </c>
      <c r="M804" t="s">
        <v>78</v>
      </c>
      <c r="N804" t="s">
        <v>78</v>
      </c>
      <c r="O804" t="s">
        <v>78</v>
      </c>
      <c r="P804" t="s">
        <v>78</v>
      </c>
      <c r="Q804" t="s">
        <v>357</v>
      </c>
      <c r="R804" t="s">
        <v>78</v>
      </c>
      <c r="S804" t="s">
        <v>78</v>
      </c>
    </row>
    <row r="805" spans="1:19" x14ac:dyDescent="0.35">
      <c r="A805" s="531" t="s">
        <v>273</v>
      </c>
      <c r="B805" s="531">
        <v>1162360</v>
      </c>
      <c r="C805" s="531">
        <v>17000</v>
      </c>
      <c r="D805" s="531" t="s">
        <v>78</v>
      </c>
      <c r="E805" s="531" t="s">
        <v>415</v>
      </c>
      <c r="F805" s="531" t="s">
        <v>78</v>
      </c>
      <c r="G805" s="531" t="s">
        <v>78</v>
      </c>
      <c r="H805" s="531" t="s">
        <v>78</v>
      </c>
      <c r="I805" s="531" t="s">
        <v>78</v>
      </c>
      <c r="J805" s="531" t="s">
        <v>78</v>
      </c>
      <c r="K805" s="531" t="s">
        <v>78</v>
      </c>
      <c r="L805" s="531" t="s">
        <v>78</v>
      </c>
      <c r="M805" s="531" t="s">
        <v>78</v>
      </c>
      <c r="N805" s="531" t="s">
        <v>78</v>
      </c>
      <c r="O805" s="531"/>
      <c r="P805" s="531" t="s">
        <v>78</v>
      </c>
      <c r="Q805" s="531" t="s">
        <v>357</v>
      </c>
      <c r="R805" s="531" t="s">
        <v>78</v>
      </c>
      <c r="S805" s="531" t="s">
        <v>78</v>
      </c>
    </row>
    <row r="806" spans="1:19" x14ac:dyDescent="0.35">
      <c r="A806" s="531" t="s">
        <v>273</v>
      </c>
      <c r="B806" s="531">
        <v>2112160</v>
      </c>
      <c r="C806" s="531">
        <v>17000</v>
      </c>
      <c r="D806" s="531" t="s">
        <v>78</v>
      </c>
      <c r="E806" s="531" t="s">
        <v>415</v>
      </c>
      <c r="F806" s="531" t="s">
        <v>78</v>
      </c>
      <c r="G806" s="531" t="s">
        <v>78</v>
      </c>
      <c r="H806" s="531" t="s">
        <v>78</v>
      </c>
      <c r="I806" s="531" t="s">
        <v>78</v>
      </c>
      <c r="J806" s="531" t="s">
        <v>78</v>
      </c>
      <c r="K806" s="531" t="s">
        <v>78</v>
      </c>
      <c r="L806" s="531" t="s">
        <v>78</v>
      </c>
      <c r="M806" s="531" t="s">
        <v>78</v>
      </c>
      <c r="N806" s="531" t="s">
        <v>78</v>
      </c>
      <c r="O806" s="531"/>
      <c r="P806" s="531" t="s">
        <v>78</v>
      </c>
      <c r="Q806" s="531" t="s">
        <v>151</v>
      </c>
      <c r="R806" s="531" t="s">
        <v>78</v>
      </c>
      <c r="S806" s="531" t="s">
        <v>78</v>
      </c>
    </row>
    <row r="807" spans="1:19" x14ac:dyDescent="0.35">
      <c r="A807" t="s">
        <v>273</v>
      </c>
      <c r="B807">
        <v>408680</v>
      </c>
      <c r="C807">
        <v>17000</v>
      </c>
      <c r="D807" t="s">
        <v>78</v>
      </c>
      <c r="E807" t="s">
        <v>439</v>
      </c>
      <c r="F807" t="s">
        <v>78</v>
      </c>
      <c r="G807" t="s">
        <v>78</v>
      </c>
      <c r="H807" t="s">
        <v>78</v>
      </c>
      <c r="I807" t="s">
        <v>78</v>
      </c>
      <c r="J807" t="s">
        <v>78</v>
      </c>
      <c r="K807" t="s">
        <v>78</v>
      </c>
      <c r="L807" t="s">
        <v>78</v>
      </c>
      <c r="M807" t="s">
        <v>78</v>
      </c>
      <c r="N807" t="s">
        <v>78</v>
      </c>
      <c r="P807" t="s">
        <v>78</v>
      </c>
      <c r="Q807" t="s">
        <v>151</v>
      </c>
      <c r="R807" t="s">
        <v>78</v>
      </c>
      <c r="S807" t="s">
        <v>78</v>
      </c>
    </row>
    <row r="808" spans="1:19" x14ac:dyDescent="0.35">
      <c r="A808" t="s">
        <v>273</v>
      </c>
      <c r="B808">
        <v>108720</v>
      </c>
      <c r="C808">
        <v>17000</v>
      </c>
      <c r="D808" t="s">
        <v>78</v>
      </c>
      <c r="E808" t="s">
        <v>415</v>
      </c>
      <c r="F808" t="s">
        <v>78</v>
      </c>
      <c r="G808" t="s">
        <v>78</v>
      </c>
      <c r="H808" t="s">
        <v>78</v>
      </c>
      <c r="I808" t="s">
        <v>78</v>
      </c>
      <c r="J808" t="s">
        <v>78</v>
      </c>
      <c r="K808" t="s">
        <v>78</v>
      </c>
      <c r="L808" t="s">
        <v>78</v>
      </c>
      <c r="M808" t="s">
        <v>78</v>
      </c>
      <c r="N808" t="s">
        <v>78</v>
      </c>
      <c r="O808" t="s">
        <v>78</v>
      </c>
      <c r="P808" t="s">
        <v>78</v>
      </c>
      <c r="Q808" t="s">
        <v>151</v>
      </c>
      <c r="R808" t="s">
        <v>78</v>
      </c>
      <c r="S808" t="s">
        <v>78</v>
      </c>
    </row>
    <row r="809" spans="1:19" x14ac:dyDescent="0.35">
      <c r="A809" s="530" t="s">
        <v>274</v>
      </c>
      <c r="B809" s="530">
        <v>1442560</v>
      </c>
      <c r="C809" s="530">
        <v>17000</v>
      </c>
      <c r="D809" s="530" t="s">
        <v>78</v>
      </c>
      <c r="E809" s="530" t="s">
        <v>421</v>
      </c>
      <c r="F809" s="530" t="s">
        <v>78</v>
      </c>
      <c r="G809" s="530" t="s">
        <v>78</v>
      </c>
      <c r="H809" s="530" t="s">
        <v>78</v>
      </c>
      <c r="I809" s="530" t="s">
        <v>78</v>
      </c>
      <c r="J809" s="530" t="s">
        <v>78</v>
      </c>
      <c r="K809" s="530" t="s">
        <v>78</v>
      </c>
      <c r="L809" s="530" t="s">
        <v>78</v>
      </c>
      <c r="M809" s="530" t="s">
        <v>78</v>
      </c>
      <c r="N809" s="530" t="s">
        <v>78</v>
      </c>
      <c r="O809" s="530"/>
      <c r="P809" s="530" t="s">
        <v>78</v>
      </c>
      <c r="Q809" s="530" t="s">
        <v>17</v>
      </c>
      <c r="R809" s="530" t="s">
        <v>78</v>
      </c>
      <c r="S809" s="530" t="s">
        <v>78</v>
      </c>
    </row>
    <row r="810" spans="1:19" x14ac:dyDescent="0.35">
      <c r="A810" s="530" t="s">
        <v>274</v>
      </c>
      <c r="B810" s="530">
        <v>114200</v>
      </c>
      <c r="C810" s="530">
        <v>17000</v>
      </c>
      <c r="D810" s="530" t="s">
        <v>78</v>
      </c>
      <c r="E810" s="530" t="s">
        <v>413</v>
      </c>
      <c r="F810" s="530" t="s">
        <v>78</v>
      </c>
      <c r="G810" s="530" t="s">
        <v>78</v>
      </c>
      <c r="H810" s="530" t="s">
        <v>78</v>
      </c>
      <c r="I810" s="530" t="s">
        <v>78</v>
      </c>
      <c r="J810" s="530" t="s">
        <v>78</v>
      </c>
      <c r="K810" s="530" t="s">
        <v>78</v>
      </c>
      <c r="L810" s="530" t="s">
        <v>78</v>
      </c>
      <c r="M810" s="530" t="s">
        <v>78</v>
      </c>
      <c r="N810" s="530" t="s">
        <v>78</v>
      </c>
      <c r="O810" s="530"/>
      <c r="P810" s="530" t="s">
        <v>78</v>
      </c>
      <c r="Q810" s="530" t="s">
        <v>218</v>
      </c>
      <c r="R810" s="530" t="s">
        <v>78</v>
      </c>
      <c r="S810" s="530" t="s">
        <v>78</v>
      </c>
    </row>
    <row r="811" spans="1:19" x14ac:dyDescent="0.35">
      <c r="A811" t="s">
        <v>274</v>
      </c>
      <c r="B811">
        <v>689320</v>
      </c>
      <c r="C811">
        <v>17000</v>
      </c>
      <c r="D811" t="s">
        <v>78</v>
      </c>
      <c r="E811" t="s">
        <v>421</v>
      </c>
      <c r="F811" t="s">
        <v>78</v>
      </c>
      <c r="G811" t="s">
        <v>78</v>
      </c>
      <c r="H811" t="s">
        <v>78</v>
      </c>
      <c r="I811" t="s">
        <v>78</v>
      </c>
      <c r="J811" t="s">
        <v>78</v>
      </c>
      <c r="K811" t="s">
        <v>78</v>
      </c>
      <c r="L811" t="s">
        <v>78</v>
      </c>
      <c r="M811" t="s">
        <v>78</v>
      </c>
      <c r="N811" t="s">
        <v>78</v>
      </c>
      <c r="P811" t="s">
        <v>78</v>
      </c>
      <c r="Q811" t="s">
        <v>218</v>
      </c>
      <c r="R811" t="s">
        <v>78</v>
      </c>
      <c r="S811" t="s">
        <v>78</v>
      </c>
    </row>
    <row r="812" spans="1:19" x14ac:dyDescent="0.35">
      <c r="A812" t="s">
        <v>274</v>
      </c>
      <c r="B812">
        <v>166120</v>
      </c>
      <c r="C812">
        <v>17000</v>
      </c>
      <c r="D812" t="s">
        <v>78</v>
      </c>
      <c r="E812" t="s">
        <v>377</v>
      </c>
      <c r="F812" t="s">
        <v>78</v>
      </c>
      <c r="G812" t="s">
        <v>78</v>
      </c>
      <c r="H812" t="s">
        <v>78</v>
      </c>
      <c r="I812" t="s">
        <v>78</v>
      </c>
      <c r="J812" t="s">
        <v>78</v>
      </c>
      <c r="K812" t="s">
        <v>78</v>
      </c>
      <c r="L812" t="s">
        <v>78</v>
      </c>
      <c r="M812" t="s">
        <v>78</v>
      </c>
      <c r="N812" t="s">
        <v>78</v>
      </c>
      <c r="O812" t="s">
        <v>78</v>
      </c>
      <c r="P812" t="s">
        <v>78</v>
      </c>
      <c r="Q812" t="s">
        <v>218</v>
      </c>
      <c r="R812" t="s">
        <v>78</v>
      </c>
      <c r="S812" t="s">
        <v>78</v>
      </c>
    </row>
    <row r="813" spans="1:19" x14ac:dyDescent="0.35">
      <c r="A813" s="531" t="s">
        <v>275</v>
      </c>
      <c r="B813" s="531">
        <v>28080</v>
      </c>
      <c r="C813" s="531">
        <v>17000</v>
      </c>
      <c r="D813" s="531" t="s">
        <v>78</v>
      </c>
      <c r="E813" s="531" t="s">
        <v>346</v>
      </c>
      <c r="F813" s="531" t="s">
        <v>78</v>
      </c>
      <c r="G813" s="531" t="s">
        <v>78</v>
      </c>
      <c r="H813" s="531" t="s">
        <v>78</v>
      </c>
      <c r="I813" s="531" t="s">
        <v>78</v>
      </c>
      <c r="J813" s="531" t="s">
        <v>78</v>
      </c>
      <c r="K813" s="531" t="s">
        <v>78</v>
      </c>
      <c r="L813" s="531" t="s">
        <v>78</v>
      </c>
      <c r="M813" s="531" t="s">
        <v>78</v>
      </c>
      <c r="N813" s="531" t="s">
        <v>78</v>
      </c>
      <c r="O813" s="531"/>
      <c r="P813" s="531" t="s">
        <v>78</v>
      </c>
      <c r="Q813" s="531" t="s">
        <v>15</v>
      </c>
      <c r="R813" s="531" t="s">
        <v>78</v>
      </c>
      <c r="S813" s="531" t="s">
        <v>78</v>
      </c>
    </row>
    <row r="814" spans="1:19" x14ac:dyDescent="0.35">
      <c r="A814" s="531" t="s">
        <v>275</v>
      </c>
      <c r="B814" s="531">
        <v>393200</v>
      </c>
      <c r="C814" s="531">
        <v>17000</v>
      </c>
      <c r="D814" s="531" t="s">
        <v>78</v>
      </c>
      <c r="E814" s="531" t="s">
        <v>422</v>
      </c>
      <c r="F814" s="531" t="s">
        <v>78</v>
      </c>
      <c r="G814" s="531" t="s">
        <v>78</v>
      </c>
      <c r="H814" s="531" t="s">
        <v>78</v>
      </c>
      <c r="I814" s="531" t="s">
        <v>78</v>
      </c>
      <c r="J814" s="531" t="s">
        <v>78</v>
      </c>
      <c r="K814" s="531" t="s">
        <v>78</v>
      </c>
      <c r="L814" s="531" t="s">
        <v>78</v>
      </c>
      <c r="M814" s="531" t="s">
        <v>78</v>
      </c>
      <c r="N814" s="531" t="s">
        <v>78</v>
      </c>
      <c r="O814" s="531"/>
      <c r="P814" s="531" t="s">
        <v>78</v>
      </c>
      <c r="Q814" s="531" t="s">
        <v>218</v>
      </c>
      <c r="R814" s="531" t="s">
        <v>78</v>
      </c>
      <c r="S814" s="531" t="s">
        <v>78</v>
      </c>
    </row>
    <row r="815" spans="1:19" x14ac:dyDescent="0.35">
      <c r="A815" t="s">
        <v>275</v>
      </c>
      <c r="B815">
        <v>739320</v>
      </c>
      <c r="C815">
        <v>17000</v>
      </c>
      <c r="D815" t="s">
        <v>78</v>
      </c>
      <c r="E815" t="s">
        <v>347</v>
      </c>
      <c r="F815" t="s">
        <v>78</v>
      </c>
      <c r="G815" t="s">
        <v>78</v>
      </c>
      <c r="H815" t="s">
        <v>78</v>
      </c>
      <c r="I815" t="s">
        <v>78</v>
      </c>
      <c r="J815" t="s">
        <v>78</v>
      </c>
      <c r="K815" t="s">
        <v>78</v>
      </c>
      <c r="L815" t="s">
        <v>78</v>
      </c>
      <c r="M815" t="s">
        <v>78</v>
      </c>
      <c r="N815" t="s">
        <v>78</v>
      </c>
      <c r="P815" t="s">
        <v>78</v>
      </c>
      <c r="Q815" t="s">
        <v>357</v>
      </c>
      <c r="R815" t="s">
        <v>78</v>
      </c>
      <c r="S815" t="s">
        <v>78</v>
      </c>
    </row>
    <row r="816" spans="1:19" x14ac:dyDescent="0.35">
      <c r="A816" t="s">
        <v>275</v>
      </c>
      <c r="B816">
        <v>314040</v>
      </c>
      <c r="C816">
        <v>17000</v>
      </c>
      <c r="D816" t="s">
        <v>78</v>
      </c>
      <c r="E816" t="s">
        <v>415</v>
      </c>
      <c r="F816" t="s">
        <v>78</v>
      </c>
      <c r="G816" t="s">
        <v>78</v>
      </c>
      <c r="H816" t="s">
        <v>78</v>
      </c>
      <c r="I816" t="s">
        <v>78</v>
      </c>
      <c r="J816" t="s">
        <v>78</v>
      </c>
      <c r="K816" t="s">
        <v>78</v>
      </c>
      <c r="L816" t="s">
        <v>78</v>
      </c>
      <c r="M816" t="s">
        <v>78</v>
      </c>
      <c r="N816" t="s">
        <v>78</v>
      </c>
      <c r="O816" t="s">
        <v>78</v>
      </c>
      <c r="P816" t="s">
        <v>78</v>
      </c>
      <c r="Q816" t="s">
        <v>15</v>
      </c>
      <c r="R816" t="s">
        <v>78</v>
      </c>
      <c r="S816" t="s">
        <v>78</v>
      </c>
    </row>
    <row r="817" spans="1:19" x14ac:dyDescent="0.35">
      <c r="A817" s="530" t="s">
        <v>276</v>
      </c>
      <c r="B817" s="530">
        <v>114480</v>
      </c>
      <c r="C817" s="530">
        <v>17000</v>
      </c>
      <c r="D817" s="530" t="s">
        <v>78</v>
      </c>
      <c r="E817" s="530" t="s">
        <v>421</v>
      </c>
      <c r="F817" s="530" t="s">
        <v>78</v>
      </c>
      <c r="G817" s="530" t="s">
        <v>78</v>
      </c>
      <c r="H817" s="530" t="s">
        <v>78</v>
      </c>
      <c r="I817" s="530" t="s">
        <v>78</v>
      </c>
      <c r="J817" s="530" t="s">
        <v>78</v>
      </c>
      <c r="K817" s="530" t="s">
        <v>78</v>
      </c>
      <c r="L817" s="530" t="s">
        <v>78</v>
      </c>
      <c r="M817" s="530" t="s">
        <v>78</v>
      </c>
      <c r="N817" s="530" t="s">
        <v>78</v>
      </c>
      <c r="O817" s="530"/>
      <c r="P817" s="530" t="s">
        <v>78</v>
      </c>
      <c r="Q817" s="530" t="s">
        <v>15</v>
      </c>
      <c r="R817" s="530" t="s">
        <v>78</v>
      </c>
      <c r="S817" s="530" t="s">
        <v>78</v>
      </c>
    </row>
    <row r="818" spans="1:19" x14ac:dyDescent="0.35">
      <c r="A818" s="530" t="s">
        <v>276</v>
      </c>
      <c r="B818" s="530">
        <v>393200</v>
      </c>
      <c r="C818" s="530">
        <v>17000</v>
      </c>
      <c r="D818" s="530" t="s">
        <v>78</v>
      </c>
      <c r="E818" s="530" t="s">
        <v>413</v>
      </c>
      <c r="F818" s="530" t="s">
        <v>78</v>
      </c>
      <c r="G818" s="530" t="s">
        <v>78</v>
      </c>
      <c r="H818" s="530" t="s">
        <v>78</v>
      </c>
      <c r="I818" s="530" t="s">
        <v>78</v>
      </c>
      <c r="J818" s="530" t="s">
        <v>78</v>
      </c>
      <c r="K818" s="530" t="s">
        <v>78</v>
      </c>
      <c r="L818" s="530" t="s">
        <v>78</v>
      </c>
      <c r="M818" s="530" t="s">
        <v>78</v>
      </c>
      <c r="N818" s="530" t="s">
        <v>78</v>
      </c>
      <c r="O818" s="530"/>
      <c r="P818" s="530" t="s">
        <v>78</v>
      </c>
      <c r="Q818" s="530" t="s">
        <v>218</v>
      </c>
      <c r="R818" s="530" t="s">
        <v>78</v>
      </c>
      <c r="S818" s="530" t="s">
        <v>78</v>
      </c>
    </row>
    <row r="819" spans="1:19" x14ac:dyDescent="0.35">
      <c r="A819" t="s">
        <v>276</v>
      </c>
      <c r="B819">
        <v>857480</v>
      </c>
      <c r="C819">
        <v>17000</v>
      </c>
      <c r="D819" t="s">
        <v>78</v>
      </c>
      <c r="E819" t="s">
        <v>439</v>
      </c>
      <c r="F819" t="s">
        <v>78</v>
      </c>
      <c r="G819" t="s">
        <v>78</v>
      </c>
      <c r="H819" t="s">
        <v>78</v>
      </c>
      <c r="I819" t="s">
        <v>78</v>
      </c>
      <c r="J819" t="s">
        <v>78</v>
      </c>
      <c r="K819" t="s">
        <v>78</v>
      </c>
      <c r="L819" t="s">
        <v>78</v>
      </c>
      <c r="M819" t="s">
        <v>78</v>
      </c>
      <c r="N819" t="s">
        <v>78</v>
      </c>
      <c r="P819" t="s">
        <v>78</v>
      </c>
      <c r="Q819" t="s">
        <v>151</v>
      </c>
      <c r="R819" t="s">
        <v>78</v>
      </c>
      <c r="S819" t="s">
        <v>78</v>
      </c>
    </row>
    <row r="820" spans="1:19" x14ac:dyDescent="0.35">
      <c r="A820" t="s">
        <v>276</v>
      </c>
      <c r="B820">
        <v>716480</v>
      </c>
      <c r="C820">
        <v>17000</v>
      </c>
      <c r="D820" t="s">
        <v>78</v>
      </c>
      <c r="E820" t="s">
        <v>439</v>
      </c>
      <c r="F820" t="s">
        <v>78</v>
      </c>
      <c r="G820" t="s">
        <v>78</v>
      </c>
      <c r="H820" t="s">
        <v>78</v>
      </c>
      <c r="I820" t="s">
        <v>78</v>
      </c>
      <c r="J820" t="s">
        <v>78</v>
      </c>
      <c r="K820" t="s">
        <v>78</v>
      </c>
      <c r="L820" t="s">
        <v>78</v>
      </c>
      <c r="M820" t="s">
        <v>78</v>
      </c>
      <c r="N820" t="s">
        <v>78</v>
      </c>
      <c r="O820" t="s">
        <v>78</v>
      </c>
      <c r="P820" t="s">
        <v>78</v>
      </c>
      <c r="Q820" t="s">
        <v>218</v>
      </c>
      <c r="R820" t="s">
        <v>78</v>
      </c>
      <c r="S820" t="s">
        <v>78</v>
      </c>
    </row>
    <row r="821" spans="1:19" x14ac:dyDescent="0.35">
      <c r="A821" s="530" t="s">
        <v>565</v>
      </c>
      <c r="B821" s="530">
        <v>514520</v>
      </c>
      <c r="C821" s="530">
        <v>17000</v>
      </c>
      <c r="D821" s="530" t="s">
        <v>78</v>
      </c>
      <c r="E821" s="530" t="s">
        <v>346</v>
      </c>
      <c r="F821" s="530" t="s">
        <v>78</v>
      </c>
      <c r="G821" s="530" t="s">
        <v>78</v>
      </c>
      <c r="H821" s="530" t="s">
        <v>78</v>
      </c>
      <c r="I821" s="530" t="s">
        <v>78</v>
      </c>
      <c r="J821" s="530" t="s">
        <v>78</v>
      </c>
      <c r="K821" s="530" t="s">
        <v>78</v>
      </c>
      <c r="L821" s="530" t="s">
        <v>78</v>
      </c>
      <c r="M821" s="530" t="s">
        <v>78</v>
      </c>
      <c r="N821" s="530" t="s">
        <v>78</v>
      </c>
      <c r="O821" s="530"/>
      <c r="P821" s="530" t="s">
        <v>78</v>
      </c>
      <c r="Q821" s="530" t="s">
        <v>15</v>
      </c>
      <c r="R821" s="530" t="s">
        <v>78</v>
      </c>
      <c r="S821" s="530" t="s">
        <v>78</v>
      </c>
    </row>
    <row r="822" spans="1:19" x14ac:dyDescent="0.35">
      <c r="A822" t="s">
        <v>565</v>
      </c>
      <c r="B822">
        <v>1044040</v>
      </c>
      <c r="C822">
        <v>17000</v>
      </c>
      <c r="D822" t="s">
        <v>78</v>
      </c>
      <c r="E822" t="s">
        <v>376</v>
      </c>
      <c r="F822" t="s">
        <v>78</v>
      </c>
      <c r="G822" t="s">
        <v>78</v>
      </c>
      <c r="H822" t="s">
        <v>78</v>
      </c>
      <c r="I822" t="s">
        <v>78</v>
      </c>
      <c r="J822" t="s">
        <v>78</v>
      </c>
      <c r="K822" t="s">
        <v>78</v>
      </c>
      <c r="L822" t="s">
        <v>78</v>
      </c>
      <c r="M822" t="s">
        <v>78</v>
      </c>
      <c r="N822" t="s">
        <v>78</v>
      </c>
      <c r="P822" t="s">
        <v>78</v>
      </c>
      <c r="Q822" t="s">
        <v>17</v>
      </c>
      <c r="R822" t="s">
        <v>78</v>
      </c>
      <c r="S822" t="s">
        <v>78</v>
      </c>
    </row>
    <row r="823" spans="1:19" x14ac:dyDescent="0.35">
      <c r="A823" t="s">
        <v>565</v>
      </c>
      <c r="B823">
        <v>767120</v>
      </c>
      <c r="C823">
        <v>17000</v>
      </c>
      <c r="D823" t="s">
        <v>78</v>
      </c>
      <c r="E823" t="s">
        <v>344</v>
      </c>
      <c r="F823" t="s">
        <v>78</v>
      </c>
      <c r="G823" t="s">
        <v>78</v>
      </c>
      <c r="H823" t="s">
        <v>78</v>
      </c>
      <c r="I823" t="s">
        <v>78</v>
      </c>
      <c r="J823" t="s">
        <v>78</v>
      </c>
      <c r="K823" t="s">
        <v>78</v>
      </c>
      <c r="L823" t="s">
        <v>78</v>
      </c>
      <c r="M823" t="s">
        <v>78</v>
      </c>
      <c r="N823" t="s">
        <v>78</v>
      </c>
      <c r="O823" t="s">
        <v>78</v>
      </c>
      <c r="P823" t="s">
        <v>78</v>
      </c>
      <c r="Q823" t="s">
        <v>17</v>
      </c>
      <c r="R823" t="s">
        <v>78</v>
      </c>
      <c r="S823" t="s">
        <v>78</v>
      </c>
    </row>
    <row r="824" spans="1:19" x14ac:dyDescent="0.35">
      <c r="A824" t="s">
        <v>606</v>
      </c>
      <c r="B824">
        <v>1223800</v>
      </c>
      <c r="C824">
        <v>17000</v>
      </c>
      <c r="D824" t="s">
        <v>78</v>
      </c>
      <c r="E824" t="s">
        <v>376</v>
      </c>
      <c r="F824" t="s">
        <v>78</v>
      </c>
      <c r="G824" t="s">
        <v>78</v>
      </c>
      <c r="H824" t="s">
        <v>78</v>
      </c>
      <c r="I824" t="s">
        <v>78</v>
      </c>
      <c r="J824" t="s">
        <v>78</v>
      </c>
      <c r="K824" t="s">
        <v>78</v>
      </c>
      <c r="L824" t="s">
        <v>78</v>
      </c>
      <c r="M824" t="s">
        <v>78</v>
      </c>
      <c r="N824" t="s">
        <v>78</v>
      </c>
      <c r="P824" t="s">
        <v>78</v>
      </c>
      <c r="Q824" t="s">
        <v>218</v>
      </c>
      <c r="R824" t="s">
        <v>78</v>
      </c>
      <c r="S824" t="s">
        <v>78</v>
      </c>
    </row>
    <row r="825" spans="1:19" x14ac:dyDescent="0.35">
      <c r="A825" t="s">
        <v>606</v>
      </c>
      <c r="B825">
        <v>905440</v>
      </c>
      <c r="C825">
        <v>17000</v>
      </c>
      <c r="D825" t="s">
        <v>78</v>
      </c>
      <c r="E825" t="s">
        <v>415</v>
      </c>
      <c r="F825" t="s">
        <v>78</v>
      </c>
      <c r="G825" t="s">
        <v>78</v>
      </c>
      <c r="H825" t="s">
        <v>78</v>
      </c>
      <c r="I825" t="s">
        <v>78</v>
      </c>
      <c r="J825" t="s">
        <v>78</v>
      </c>
      <c r="K825" t="s">
        <v>78</v>
      </c>
      <c r="L825" t="s">
        <v>78</v>
      </c>
      <c r="M825" t="s">
        <v>78</v>
      </c>
      <c r="N825" t="s">
        <v>78</v>
      </c>
      <c r="O825" t="s">
        <v>78</v>
      </c>
      <c r="P825" t="s">
        <v>78</v>
      </c>
      <c r="Q825" t="s">
        <v>151</v>
      </c>
      <c r="R825" t="s">
        <v>78</v>
      </c>
      <c r="S825" t="s">
        <v>78</v>
      </c>
    </row>
    <row r="826" spans="1:19" x14ac:dyDescent="0.35">
      <c r="A826" t="s">
        <v>607</v>
      </c>
      <c r="B826">
        <v>1361120</v>
      </c>
      <c r="C826">
        <v>17000</v>
      </c>
      <c r="D826" t="s">
        <v>78</v>
      </c>
      <c r="E826" t="s">
        <v>346</v>
      </c>
      <c r="F826" t="s">
        <v>78</v>
      </c>
      <c r="G826" t="s">
        <v>78</v>
      </c>
      <c r="H826" t="s">
        <v>78</v>
      </c>
      <c r="I826" t="s">
        <v>78</v>
      </c>
      <c r="J826" t="s">
        <v>78</v>
      </c>
      <c r="K826" t="s">
        <v>78</v>
      </c>
      <c r="L826" t="s">
        <v>78</v>
      </c>
      <c r="M826" t="s">
        <v>78</v>
      </c>
      <c r="N826" t="s">
        <v>78</v>
      </c>
      <c r="P826" t="s">
        <v>78</v>
      </c>
      <c r="Q826" t="s">
        <v>17</v>
      </c>
      <c r="R826" t="s">
        <v>78</v>
      </c>
      <c r="S826" t="s">
        <v>78</v>
      </c>
    </row>
    <row r="827" spans="1:19" x14ac:dyDescent="0.35">
      <c r="A827" t="s">
        <v>607</v>
      </c>
      <c r="B827">
        <v>1104440</v>
      </c>
      <c r="C827">
        <v>17000</v>
      </c>
      <c r="D827" t="s">
        <v>78</v>
      </c>
      <c r="E827" t="s">
        <v>346</v>
      </c>
      <c r="F827" t="s">
        <v>78</v>
      </c>
      <c r="G827" t="s">
        <v>78</v>
      </c>
      <c r="H827" t="s">
        <v>78</v>
      </c>
      <c r="I827" t="s">
        <v>78</v>
      </c>
      <c r="J827" t="s">
        <v>78</v>
      </c>
      <c r="K827" t="s">
        <v>78</v>
      </c>
      <c r="L827" t="s">
        <v>78</v>
      </c>
      <c r="M827" t="s">
        <v>78</v>
      </c>
      <c r="N827" t="s">
        <v>78</v>
      </c>
      <c r="O827" t="s">
        <v>78</v>
      </c>
      <c r="P827" t="s">
        <v>78</v>
      </c>
      <c r="Q827" t="s">
        <v>357</v>
      </c>
      <c r="R827" t="s">
        <v>78</v>
      </c>
      <c r="S827" t="s">
        <v>78</v>
      </c>
    </row>
    <row r="828" spans="1:19" x14ac:dyDescent="0.35">
      <c r="A828" s="530" t="s">
        <v>261</v>
      </c>
      <c r="B828" s="530">
        <v>1339160</v>
      </c>
      <c r="C828" s="530">
        <v>17000</v>
      </c>
      <c r="D828" s="530" t="s">
        <v>78</v>
      </c>
      <c r="E828" s="530" t="s">
        <v>439</v>
      </c>
      <c r="F828" s="530" t="s">
        <v>78</v>
      </c>
      <c r="G828" s="530" t="s">
        <v>78</v>
      </c>
      <c r="H828" s="530" t="s">
        <v>78</v>
      </c>
      <c r="I828" s="530" t="s">
        <v>78</v>
      </c>
      <c r="J828" s="530" t="s">
        <v>78</v>
      </c>
      <c r="K828" s="530" t="s">
        <v>78</v>
      </c>
      <c r="L828" s="530" t="s">
        <v>78</v>
      </c>
      <c r="M828" s="530" t="s">
        <v>78</v>
      </c>
      <c r="N828" s="530" t="s">
        <v>78</v>
      </c>
      <c r="O828" s="530"/>
      <c r="P828" s="530" t="s">
        <v>78</v>
      </c>
      <c r="Q828" s="530" t="s">
        <v>218</v>
      </c>
      <c r="R828" s="530" t="s">
        <v>78</v>
      </c>
      <c r="S828" s="530" t="s">
        <v>78</v>
      </c>
    </row>
    <row r="829" spans="1:19" x14ac:dyDescent="0.35">
      <c r="A829" s="530" t="s">
        <v>261</v>
      </c>
      <c r="B829" s="530">
        <v>707960</v>
      </c>
      <c r="C829" s="530">
        <v>17000</v>
      </c>
      <c r="D829" s="530" t="s">
        <v>78</v>
      </c>
      <c r="E829" s="530" t="s">
        <v>421</v>
      </c>
      <c r="F829" s="530" t="s">
        <v>78</v>
      </c>
      <c r="G829" s="530" t="s">
        <v>78</v>
      </c>
      <c r="H829" s="530" t="s">
        <v>78</v>
      </c>
      <c r="I829" s="530" t="s">
        <v>78</v>
      </c>
      <c r="J829" s="530" t="s">
        <v>78</v>
      </c>
      <c r="K829" s="530" t="s">
        <v>78</v>
      </c>
      <c r="L829" s="530" t="s">
        <v>78</v>
      </c>
      <c r="M829" s="530" t="s">
        <v>78</v>
      </c>
      <c r="N829" s="530" t="s">
        <v>78</v>
      </c>
      <c r="O829" s="530"/>
      <c r="P829" s="530" t="s">
        <v>78</v>
      </c>
      <c r="Q829" s="530" t="s">
        <v>218</v>
      </c>
      <c r="R829" s="530" t="s">
        <v>78</v>
      </c>
      <c r="S829" s="530" t="s">
        <v>78</v>
      </c>
    </row>
    <row r="830" spans="1:19" x14ac:dyDescent="0.35">
      <c r="A830" s="531" t="s">
        <v>261</v>
      </c>
      <c r="B830" s="531">
        <v>136000</v>
      </c>
      <c r="C830" s="531">
        <v>17000</v>
      </c>
      <c r="D830" s="531" t="s">
        <v>78</v>
      </c>
      <c r="E830" s="531" t="s">
        <v>346</v>
      </c>
      <c r="F830" s="531" t="s">
        <v>78</v>
      </c>
      <c r="G830" s="531" t="s">
        <v>78</v>
      </c>
      <c r="H830" s="531" t="s">
        <v>78</v>
      </c>
      <c r="I830" s="531" t="s">
        <v>78</v>
      </c>
      <c r="J830" s="531" t="s">
        <v>78</v>
      </c>
      <c r="K830" s="531" t="s">
        <v>345</v>
      </c>
      <c r="L830" s="531" t="s">
        <v>78</v>
      </c>
      <c r="M830" s="531" t="s">
        <v>78</v>
      </c>
      <c r="N830" s="531" t="s">
        <v>78</v>
      </c>
      <c r="O830" s="531"/>
      <c r="P830" s="531" t="s">
        <v>78</v>
      </c>
      <c r="Q830" s="531" t="s">
        <v>151</v>
      </c>
      <c r="R830" s="531" t="s">
        <v>78</v>
      </c>
      <c r="S830" s="531" t="s">
        <v>78</v>
      </c>
    </row>
    <row r="831" spans="1:19" x14ac:dyDescent="0.35">
      <c r="A831" t="s">
        <v>261</v>
      </c>
      <c r="B831">
        <v>462920</v>
      </c>
      <c r="C831">
        <v>17000</v>
      </c>
      <c r="D831" t="s">
        <v>78</v>
      </c>
      <c r="E831" t="s">
        <v>376</v>
      </c>
      <c r="F831" t="s">
        <v>78</v>
      </c>
      <c r="G831" t="s">
        <v>78</v>
      </c>
      <c r="H831" t="s">
        <v>78</v>
      </c>
      <c r="I831" t="s">
        <v>78</v>
      </c>
      <c r="J831" t="s">
        <v>78</v>
      </c>
      <c r="K831" t="s">
        <v>78</v>
      </c>
      <c r="L831" t="s">
        <v>78</v>
      </c>
      <c r="M831" t="s">
        <v>78</v>
      </c>
      <c r="N831" t="s">
        <v>78</v>
      </c>
      <c r="P831" t="s">
        <v>78</v>
      </c>
      <c r="Q831" t="s">
        <v>15</v>
      </c>
      <c r="R831" t="s">
        <v>78</v>
      </c>
      <c r="S831" t="s">
        <v>78</v>
      </c>
    </row>
    <row r="832" spans="1:19" x14ac:dyDescent="0.35">
      <c r="A832" t="s">
        <v>261</v>
      </c>
      <c r="B832">
        <v>507320</v>
      </c>
      <c r="C832">
        <v>17000</v>
      </c>
      <c r="D832" t="s">
        <v>78</v>
      </c>
      <c r="E832" t="s">
        <v>421</v>
      </c>
      <c r="F832" t="s">
        <v>78</v>
      </c>
      <c r="G832" t="s">
        <v>78</v>
      </c>
      <c r="H832" t="s">
        <v>78</v>
      </c>
      <c r="I832" t="s">
        <v>78</v>
      </c>
      <c r="J832" t="s">
        <v>78</v>
      </c>
      <c r="K832" t="s">
        <v>78</v>
      </c>
      <c r="L832" t="s">
        <v>78</v>
      </c>
      <c r="M832" t="s">
        <v>78</v>
      </c>
      <c r="N832" t="s">
        <v>78</v>
      </c>
      <c r="O832" t="s">
        <v>78</v>
      </c>
      <c r="P832" t="s">
        <v>78</v>
      </c>
      <c r="Q832" t="s">
        <v>17</v>
      </c>
      <c r="R832" t="s">
        <v>78</v>
      </c>
      <c r="S832" t="s">
        <v>78</v>
      </c>
    </row>
    <row r="833" spans="1:19" x14ac:dyDescent="0.35">
      <c r="A833" t="s">
        <v>608</v>
      </c>
      <c r="B833">
        <v>1526920</v>
      </c>
      <c r="C833">
        <v>17000</v>
      </c>
      <c r="D833" t="s">
        <v>78</v>
      </c>
      <c r="E833" t="s">
        <v>343</v>
      </c>
      <c r="F833" t="s">
        <v>78</v>
      </c>
      <c r="G833" t="s">
        <v>78</v>
      </c>
      <c r="H833" t="s">
        <v>78</v>
      </c>
      <c r="I833" t="s">
        <v>78</v>
      </c>
      <c r="J833" t="s">
        <v>78</v>
      </c>
      <c r="K833" t="s">
        <v>78</v>
      </c>
      <c r="L833" t="s">
        <v>78</v>
      </c>
      <c r="M833" t="s">
        <v>78</v>
      </c>
      <c r="N833" t="s">
        <v>78</v>
      </c>
      <c r="P833" t="s">
        <v>78</v>
      </c>
      <c r="Q833" t="s">
        <v>218</v>
      </c>
      <c r="R833" t="s">
        <v>78</v>
      </c>
      <c r="S833" t="s">
        <v>78</v>
      </c>
    </row>
    <row r="834" spans="1:19" x14ac:dyDescent="0.35">
      <c r="A834" t="s">
        <v>608</v>
      </c>
      <c r="B834">
        <v>1407000</v>
      </c>
      <c r="C834">
        <v>17000</v>
      </c>
      <c r="D834" t="s">
        <v>78</v>
      </c>
      <c r="E834" t="s">
        <v>439</v>
      </c>
      <c r="F834" t="s">
        <v>78</v>
      </c>
      <c r="G834" t="s">
        <v>78</v>
      </c>
      <c r="H834" t="s">
        <v>78</v>
      </c>
      <c r="I834" t="s">
        <v>78</v>
      </c>
      <c r="J834" t="s">
        <v>78</v>
      </c>
      <c r="K834" t="s">
        <v>78</v>
      </c>
      <c r="L834" t="s">
        <v>78</v>
      </c>
      <c r="M834" t="s">
        <v>78</v>
      </c>
      <c r="N834" t="s">
        <v>78</v>
      </c>
      <c r="O834" t="s">
        <v>78</v>
      </c>
      <c r="P834" t="s">
        <v>78</v>
      </c>
      <c r="Q834" t="s">
        <v>357</v>
      </c>
      <c r="R834" t="s">
        <v>78</v>
      </c>
      <c r="S834" t="s">
        <v>78</v>
      </c>
    </row>
    <row r="835" spans="1:19" x14ac:dyDescent="0.35">
      <c r="A835" t="s">
        <v>609</v>
      </c>
      <c r="B835">
        <v>1580240</v>
      </c>
      <c r="C835">
        <v>17000</v>
      </c>
      <c r="D835" t="s">
        <v>78</v>
      </c>
      <c r="E835" t="s">
        <v>415</v>
      </c>
      <c r="F835" t="s">
        <v>78</v>
      </c>
      <c r="G835" t="s">
        <v>78</v>
      </c>
      <c r="H835" t="s">
        <v>78</v>
      </c>
      <c r="I835" t="s">
        <v>78</v>
      </c>
      <c r="J835" t="s">
        <v>78</v>
      </c>
      <c r="K835" t="s">
        <v>78</v>
      </c>
      <c r="L835" t="s">
        <v>78</v>
      </c>
      <c r="M835" t="s">
        <v>78</v>
      </c>
      <c r="N835" t="s">
        <v>78</v>
      </c>
      <c r="P835" t="s">
        <v>78</v>
      </c>
      <c r="Q835" t="s">
        <v>17</v>
      </c>
      <c r="R835" t="s">
        <v>78</v>
      </c>
      <c r="S835" t="s">
        <v>78</v>
      </c>
    </row>
    <row r="836" spans="1:19" x14ac:dyDescent="0.35">
      <c r="A836" t="s">
        <v>609</v>
      </c>
      <c r="B836">
        <v>1575000</v>
      </c>
      <c r="C836">
        <v>17000</v>
      </c>
      <c r="D836" t="s">
        <v>78</v>
      </c>
      <c r="E836" t="s">
        <v>376</v>
      </c>
      <c r="F836" t="s">
        <v>78</v>
      </c>
      <c r="G836" t="s">
        <v>78</v>
      </c>
      <c r="H836" t="s">
        <v>78</v>
      </c>
      <c r="I836" t="s">
        <v>78</v>
      </c>
      <c r="J836" t="s">
        <v>78</v>
      </c>
      <c r="K836" t="s">
        <v>78</v>
      </c>
      <c r="L836" t="s">
        <v>78</v>
      </c>
      <c r="M836" t="s">
        <v>78</v>
      </c>
      <c r="N836" t="s">
        <v>78</v>
      </c>
      <c r="O836" t="s">
        <v>78</v>
      </c>
      <c r="P836" t="s">
        <v>78</v>
      </c>
      <c r="Q836" t="s">
        <v>151</v>
      </c>
      <c r="R836" t="s">
        <v>78</v>
      </c>
      <c r="S836" t="s">
        <v>78</v>
      </c>
    </row>
    <row r="837" spans="1:19" x14ac:dyDescent="0.35">
      <c r="A837" t="s">
        <v>610</v>
      </c>
      <c r="B837">
        <v>1982080</v>
      </c>
      <c r="C837">
        <v>17000</v>
      </c>
      <c r="D837" t="s">
        <v>78</v>
      </c>
      <c r="E837" t="s">
        <v>344</v>
      </c>
      <c r="F837" t="s">
        <v>78</v>
      </c>
      <c r="G837" t="s">
        <v>78</v>
      </c>
      <c r="H837" t="s">
        <v>78</v>
      </c>
      <c r="I837" t="s">
        <v>78</v>
      </c>
      <c r="J837" t="s">
        <v>78</v>
      </c>
      <c r="K837" t="s">
        <v>78</v>
      </c>
      <c r="L837" t="s">
        <v>78</v>
      </c>
      <c r="M837" t="s">
        <v>78</v>
      </c>
      <c r="N837" t="s">
        <v>78</v>
      </c>
      <c r="P837" t="s">
        <v>78</v>
      </c>
      <c r="Q837" t="s">
        <v>17</v>
      </c>
      <c r="R837" t="s">
        <v>78</v>
      </c>
      <c r="S837" t="s">
        <v>78</v>
      </c>
    </row>
    <row r="838" spans="1:19" x14ac:dyDescent="0.35">
      <c r="A838" t="s">
        <v>610</v>
      </c>
      <c r="B838">
        <v>0</v>
      </c>
      <c r="C838">
        <v>6080</v>
      </c>
      <c r="D838" t="s">
        <v>78</v>
      </c>
      <c r="E838" t="s">
        <v>376</v>
      </c>
      <c r="F838" t="s">
        <v>78</v>
      </c>
      <c r="G838" t="s">
        <v>78</v>
      </c>
      <c r="H838" t="s">
        <v>78</v>
      </c>
      <c r="I838" t="s">
        <v>78</v>
      </c>
      <c r="J838" t="s">
        <v>78</v>
      </c>
      <c r="K838" t="s">
        <v>78</v>
      </c>
      <c r="L838" t="s">
        <v>78</v>
      </c>
      <c r="M838" t="s">
        <v>78</v>
      </c>
      <c r="N838" t="s">
        <v>78</v>
      </c>
      <c r="O838" t="s">
        <v>78</v>
      </c>
      <c r="P838" t="s">
        <v>78</v>
      </c>
      <c r="Q838" t="s">
        <v>218</v>
      </c>
      <c r="R838" t="s">
        <v>78</v>
      </c>
      <c r="S838" t="s">
        <v>78</v>
      </c>
    </row>
    <row r="839" spans="1:19" x14ac:dyDescent="0.35">
      <c r="A839" t="s">
        <v>611</v>
      </c>
      <c r="B839">
        <v>2029080</v>
      </c>
      <c r="C839">
        <v>17000</v>
      </c>
      <c r="D839" t="s">
        <v>78</v>
      </c>
      <c r="E839" t="s">
        <v>343</v>
      </c>
      <c r="F839" t="s">
        <v>78</v>
      </c>
      <c r="G839" t="s">
        <v>78</v>
      </c>
      <c r="H839" t="s">
        <v>78</v>
      </c>
      <c r="I839" t="s">
        <v>78</v>
      </c>
      <c r="J839" t="s">
        <v>78</v>
      </c>
      <c r="K839" t="s">
        <v>78</v>
      </c>
      <c r="L839" t="s">
        <v>78</v>
      </c>
      <c r="M839" t="s">
        <v>78</v>
      </c>
      <c r="N839" t="s">
        <v>78</v>
      </c>
      <c r="P839" t="s">
        <v>78</v>
      </c>
      <c r="Q839" t="s">
        <v>218</v>
      </c>
      <c r="R839" t="s">
        <v>78</v>
      </c>
      <c r="S839" t="s">
        <v>78</v>
      </c>
    </row>
    <row r="840" spans="1:19" x14ac:dyDescent="0.35">
      <c r="A840" t="s">
        <v>611</v>
      </c>
      <c r="B840">
        <v>160680</v>
      </c>
      <c r="C840">
        <v>17000</v>
      </c>
      <c r="D840" t="s">
        <v>78</v>
      </c>
      <c r="E840" t="s">
        <v>421</v>
      </c>
      <c r="F840" t="s">
        <v>78</v>
      </c>
      <c r="G840" t="s">
        <v>78</v>
      </c>
      <c r="H840" t="s">
        <v>78</v>
      </c>
      <c r="I840" t="s">
        <v>78</v>
      </c>
      <c r="J840" t="s">
        <v>78</v>
      </c>
      <c r="K840" t="s">
        <v>78</v>
      </c>
      <c r="L840" t="s">
        <v>78</v>
      </c>
      <c r="M840" t="s">
        <v>78</v>
      </c>
      <c r="N840" t="s">
        <v>78</v>
      </c>
      <c r="O840" t="s">
        <v>78</v>
      </c>
      <c r="P840" t="s">
        <v>78</v>
      </c>
      <c r="Q840" t="s">
        <v>17</v>
      </c>
      <c r="R840" t="s">
        <v>78</v>
      </c>
      <c r="S840" t="s">
        <v>78</v>
      </c>
    </row>
    <row r="841" spans="1:19" x14ac:dyDescent="0.35">
      <c r="A841" t="s">
        <v>627</v>
      </c>
      <c r="B841">
        <v>269120</v>
      </c>
      <c r="C841">
        <v>17000</v>
      </c>
      <c r="D841" t="s">
        <v>78</v>
      </c>
      <c r="E841" t="s">
        <v>376</v>
      </c>
      <c r="F841" t="s">
        <v>78</v>
      </c>
      <c r="G841" t="s">
        <v>78</v>
      </c>
      <c r="H841" t="s">
        <v>78</v>
      </c>
      <c r="I841" t="s">
        <v>78</v>
      </c>
      <c r="J841" t="s">
        <v>78</v>
      </c>
      <c r="K841" t="s">
        <v>78</v>
      </c>
      <c r="L841" t="s">
        <v>78</v>
      </c>
      <c r="M841" t="s">
        <v>78</v>
      </c>
      <c r="N841" t="s">
        <v>78</v>
      </c>
      <c r="O841" t="s">
        <v>78</v>
      </c>
      <c r="P841" t="s">
        <v>78</v>
      </c>
      <c r="Q841" t="s">
        <v>151</v>
      </c>
      <c r="R841" t="s">
        <v>78</v>
      </c>
      <c r="S841" t="s">
        <v>78</v>
      </c>
    </row>
    <row r="842" spans="1:19" x14ac:dyDescent="0.35">
      <c r="A842" s="531" t="s">
        <v>262</v>
      </c>
      <c r="B842" s="531">
        <v>1533360</v>
      </c>
      <c r="C842" s="531">
        <v>17000</v>
      </c>
      <c r="D842" s="531" t="s">
        <v>78</v>
      </c>
      <c r="E842" s="531" t="s">
        <v>347</v>
      </c>
      <c r="F842" s="531" t="s">
        <v>78</v>
      </c>
      <c r="G842" s="531" t="s">
        <v>78</v>
      </c>
      <c r="H842" s="531" t="s">
        <v>78</v>
      </c>
      <c r="I842" s="531" t="s">
        <v>78</v>
      </c>
      <c r="J842" s="531" t="s">
        <v>78</v>
      </c>
      <c r="K842" s="531" t="s">
        <v>78</v>
      </c>
      <c r="L842" s="531" t="s">
        <v>78</v>
      </c>
      <c r="M842" s="531" t="s">
        <v>78</v>
      </c>
      <c r="N842" s="531" t="s">
        <v>78</v>
      </c>
      <c r="O842" s="531"/>
      <c r="P842" s="531" t="s">
        <v>78</v>
      </c>
      <c r="Q842" s="531" t="s">
        <v>218</v>
      </c>
      <c r="R842" s="531" t="s">
        <v>78</v>
      </c>
      <c r="S842" s="531" t="s">
        <v>78</v>
      </c>
    </row>
    <row r="843" spans="1:19" x14ac:dyDescent="0.35">
      <c r="A843" s="530" t="s">
        <v>262</v>
      </c>
      <c r="B843" s="530">
        <v>814080</v>
      </c>
      <c r="C843" s="530">
        <v>17000</v>
      </c>
      <c r="D843" s="530" t="s">
        <v>78</v>
      </c>
      <c r="E843" s="530" t="s">
        <v>420</v>
      </c>
      <c r="F843" s="530" t="s">
        <v>78</v>
      </c>
      <c r="G843" s="530" t="s">
        <v>78</v>
      </c>
      <c r="H843" s="530" t="s">
        <v>78</v>
      </c>
      <c r="I843" s="530" t="s">
        <v>78</v>
      </c>
      <c r="J843" s="530" t="s">
        <v>78</v>
      </c>
      <c r="K843" s="530" t="s">
        <v>78</v>
      </c>
      <c r="L843" s="530" t="s">
        <v>78</v>
      </c>
      <c r="M843" s="530" t="s">
        <v>78</v>
      </c>
      <c r="N843" s="530" t="s">
        <v>78</v>
      </c>
      <c r="O843" s="530"/>
      <c r="P843" s="530" t="s">
        <v>78</v>
      </c>
      <c r="Q843" s="530" t="s">
        <v>209</v>
      </c>
      <c r="R843" s="530" t="s">
        <v>78</v>
      </c>
      <c r="S843" s="530" t="s">
        <v>78</v>
      </c>
    </row>
    <row r="844" spans="1:19" x14ac:dyDescent="0.35">
      <c r="A844" s="530" t="s">
        <v>262</v>
      </c>
      <c r="B844" s="530">
        <v>239520</v>
      </c>
      <c r="C844" s="530">
        <v>17000</v>
      </c>
      <c r="D844" s="530" t="s">
        <v>78</v>
      </c>
      <c r="E844" s="530" t="s">
        <v>346</v>
      </c>
      <c r="F844" s="530" t="s">
        <v>78</v>
      </c>
      <c r="G844" s="530" t="s">
        <v>78</v>
      </c>
      <c r="H844" s="530" t="s">
        <v>78</v>
      </c>
      <c r="I844" s="530" t="s">
        <v>78</v>
      </c>
      <c r="J844" s="530" t="s">
        <v>78</v>
      </c>
      <c r="K844" s="530" t="s">
        <v>78</v>
      </c>
      <c r="L844" s="530" t="s">
        <v>78</v>
      </c>
      <c r="M844" s="530" t="s">
        <v>78</v>
      </c>
      <c r="N844" s="530" t="s">
        <v>78</v>
      </c>
      <c r="O844" s="530"/>
      <c r="P844" s="530" t="s">
        <v>78</v>
      </c>
      <c r="Q844" s="530" t="s">
        <v>17</v>
      </c>
      <c r="R844" s="530" t="s">
        <v>78</v>
      </c>
      <c r="S844" s="530" t="s">
        <v>78</v>
      </c>
    </row>
    <row r="845" spans="1:19" x14ac:dyDescent="0.35">
      <c r="A845" t="s">
        <v>262</v>
      </c>
      <c r="B845">
        <v>643840</v>
      </c>
      <c r="C845">
        <v>17320</v>
      </c>
      <c r="D845" t="s">
        <v>78</v>
      </c>
      <c r="E845" t="s">
        <v>422</v>
      </c>
      <c r="F845" t="s">
        <v>78</v>
      </c>
      <c r="G845" t="s">
        <v>78</v>
      </c>
      <c r="H845" t="s">
        <v>78</v>
      </c>
      <c r="I845" t="s">
        <v>78</v>
      </c>
      <c r="J845" t="s">
        <v>78</v>
      </c>
      <c r="K845" t="s">
        <v>78</v>
      </c>
      <c r="L845" t="s">
        <v>78</v>
      </c>
      <c r="M845" t="s">
        <v>78</v>
      </c>
      <c r="N845" t="s">
        <v>78</v>
      </c>
      <c r="P845" t="s">
        <v>78</v>
      </c>
      <c r="Q845" t="s">
        <v>218</v>
      </c>
      <c r="R845" t="s">
        <v>78</v>
      </c>
      <c r="S845" t="s">
        <v>78</v>
      </c>
    </row>
    <row r="846" spans="1:19" x14ac:dyDescent="0.35">
      <c r="A846" t="s">
        <v>262</v>
      </c>
      <c r="B846">
        <v>557640</v>
      </c>
      <c r="C846">
        <v>17000</v>
      </c>
      <c r="D846" t="s">
        <v>78</v>
      </c>
      <c r="E846" t="s">
        <v>376</v>
      </c>
      <c r="F846" t="s">
        <v>78</v>
      </c>
      <c r="G846" t="s">
        <v>78</v>
      </c>
      <c r="H846" t="s">
        <v>78</v>
      </c>
      <c r="I846" t="s">
        <v>78</v>
      </c>
      <c r="J846" t="s">
        <v>78</v>
      </c>
      <c r="K846" t="s">
        <v>78</v>
      </c>
      <c r="L846" t="s">
        <v>78</v>
      </c>
      <c r="M846" t="s">
        <v>78</v>
      </c>
      <c r="N846" t="s">
        <v>78</v>
      </c>
      <c r="O846" t="s">
        <v>78</v>
      </c>
      <c r="P846" t="s">
        <v>78</v>
      </c>
      <c r="Q846" t="s">
        <v>15</v>
      </c>
      <c r="R846" t="s">
        <v>78</v>
      </c>
      <c r="S846" t="s">
        <v>78</v>
      </c>
    </row>
    <row r="847" spans="1:19" x14ac:dyDescent="0.35">
      <c r="A847" s="530" t="s">
        <v>263</v>
      </c>
      <c r="B847" s="530">
        <v>1632200</v>
      </c>
      <c r="C847" s="530">
        <v>17000</v>
      </c>
      <c r="D847" s="530" t="s">
        <v>78</v>
      </c>
      <c r="E847" s="530" t="s">
        <v>346</v>
      </c>
      <c r="F847" s="530" t="s">
        <v>78</v>
      </c>
      <c r="G847" s="530" t="s">
        <v>78</v>
      </c>
      <c r="H847" s="530" t="s">
        <v>78</v>
      </c>
      <c r="I847" s="530" t="s">
        <v>78</v>
      </c>
      <c r="J847" s="530" t="s">
        <v>78</v>
      </c>
      <c r="K847" s="530" t="s">
        <v>78</v>
      </c>
      <c r="L847" s="530" t="s">
        <v>78</v>
      </c>
      <c r="M847" s="530" t="s">
        <v>78</v>
      </c>
      <c r="N847" s="530" t="s">
        <v>78</v>
      </c>
      <c r="O847" s="530"/>
      <c r="P847" s="530" t="s">
        <v>78</v>
      </c>
      <c r="Q847" s="530" t="s">
        <v>17</v>
      </c>
      <c r="R847" s="530" t="s">
        <v>78</v>
      </c>
      <c r="S847" s="530" t="s">
        <v>78</v>
      </c>
    </row>
    <row r="848" spans="1:19" x14ac:dyDescent="0.35">
      <c r="A848" s="531" t="s">
        <v>263</v>
      </c>
      <c r="B848" s="531">
        <v>1605640</v>
      </c>
      <c r="C848" s="531">
        <v>17000</v>
      </c>
      <c r="D848" s="531" t="s">
        <v>78</v>
      </c>
      <c r="E848" s="531" t="s">
        <v>376</v>
      </c>
      <c r="F848" s="531" t="s">
        <v>78</v>
      </c>
      <c r="G848" s="531" t="s">
        <v>78</v>
      </c>
      <c r="H848" s="531" t="s">
        <v>78</v>
      </c>
      <c r="I848" s="531" t="s">
        <v>78</v>
      </c>
      <c r="J848" s="531" t="s">
        <v>78</v>
      </c>
      <c r="K848" s="531" t="s">
        <v>78</v>
      </c>
      <c r="L848" s="531" t="s">
        <v>78</v>
      </c>
      <c r="M848" s="531" t="s">
        <v>78</v>
      </c>
      <c r="N848" s="531" t="s">
        <v>78</v>
      </c>
      <c r="O848" s="531"/>
      <c r="P848" s="531" t="s">
        <v>78</v>
      </c>
      <c r="Q848" s="531" t="s">
        <v>15</v>
      </c>
      <c r="R848" s="531" t="s">
        <v>78</v>
      </c>
      <c r="S848" s="531" t="s">
        <v>78</v>
      </c>
    </row>
    <row r="849" spans="1:19" x14ac:dyDescent="0.35">
      <c r="A849" s="530" t="s">
        <v>263</v>
      </c>
      <c r="B849" s="530">
        <v>435040</v>
      </c>
      <c r="C849" s="530">
        <v>17000</v>
      </c>
      <c r="D849" s="530" t="s">
        <v>78</v>
      </c>
      <c r="E849" s="530" t="s">
        <v>344</v>
      </c>
      <c r="F849" s="530" t="s">
        <v>78</v>
      </c>
      <c r="G849" s="530" t="s">
        <v>78</v>
      </c>
      <c r="H849" s="530" t="s">
        <v>78</v>
      </c>
      <c r="I849" s="530" t="s">
        <v>78</v>
      </c>
      <c r="J849" s="530" t="s">
        <v>78</v>
      </c>
      <c r="K849" s="530" t="s">
        <v>78</v>
      </c>
      <c r="L849" s="530" t="s">
        <v>78</v>
      </c>
      <c r="M849" s="530" t="s">
        <v>78</v>
      </c>
      <c r="N849" s="530" t="s">
        <v>78</v>
      </c>
      <c r="O849" s="530"/>
      <c r="P849" s="530" t="s">
        <v>78</v>
      </c>
      <c r="Q849" s="530" t="s">
        <v>17</v>
      </c>
      <c r="R849" s="530" t="s">
        <v>78</v>
      </c>
      <c r="S849" s="530" t="s">
        <v>78</v>
      </c>
    </row>
    <row r="850" spans="1:19" x14ac:dyDescent="0.35">
      <c r="A850" t="s">
        <v>263</v>
      </c>
      <c r="B850">
        <v>1051200</v>
      </c>
      <c r="C850">
        <v>17000</v>
      </c>
      <c r="D850" t="s">
        <v>78</v>
      </c>
      <c r="E850" t="s">
        <v>346</v>
      </c>
      <c r="F850" t="s">
        <v>78</v>
      </c>
      <c r="G850" t="s">
        <v>78</v>
      </c>
      <c r="H850" t="s">
        <v>78</v>
      </c>
      <c r="I850" t="s">
        <v>78</v>
      </c>
      <c r="J850" t="s">
        <v>78</v>
      </c>
      <c r="K850" t="s">
        <v>78</v>
      </c>
      <c r="L850" t="s">
        <v>78</v>
      </c>
      <c r="M850" t="s">
        <v>78</v>
      </c>
      <c r="N850" t="s">
        <v>78</v>
      </c>
      <c r="P850" t="s">
        <v>78</v>
      </c>
      <c r="Q850" t="s">
        <v>151</v>
      </c>
      <c r="R850" t="s">
        <v>78</v>
      </c>
      <c r="S850" t="s">
        <v>78</v>
      </c>
    </row>
    <row r="851" spans="1:19" x14ac:dyDescent="0.35">
      <c r="A851" t="s">
        <v>263</v>
      </c>
      <c r="B851">
        <v>885840</v>
      </c>
      <c r="C851">
        <v>17000</v>
      </c>
      <c r="D851" t="s">
        <v>78</v>
      </c>
      <c r="E851" t="s">
        <v>376</v>
      </c>
      <c r="F851" t="s">
        <v>78</v>
      </c>
      <c r="G851" t="s">
        <v>78</v>
      </c>
      <c r="H851" t="s">
        <v>78</v>
      </c>
      <c r="I851" t="s">
        <v>78</v>
      </c>
      <c r="J851" t="s">
        <v>78</v>
      </c>
      <c r="K851" t="s">
        <v>78</v>
      </c>
      <c r="L851" t="s">
        <v>78</v>
      </c>
      <c r="M851" t="s">
        <v>78</v>
      </c>
      <c r="N851" t="s">
        <v>78</v>
      </c>
      <c r="O851" t="s">
        <v>78</v>
      </c>
      <c r="P851" t="s">
        <v>78</v>
      </c>
      <c r="Q851" t="s">
        <v>151</v>
      </c>
      <c r="R851" t="s">
        <v>78</v>
      </c>
      <c r="S851" t="s">
        <v>78</v>
      </c>
    </row>
    <row r="852" spans="1:19" x14ac:dyDescent="0.35">
      <c r="A852" s="531" t="s">
        <v>264</v>
      </c>
      <c r="B852" s="531">
        <v>1725520</v>
      </c>
      <c r="C852" s="531">
        <v>17000</v>
      </c>
      <c r="D852" s="531" t="s">
        <v>78</v>
      </c>
      <c r="E852" s="531" t="s">
        <v>421</v>
      </c>
      <c r="F852" s="531" t="s">
        <v>78</v>
      </c>
      <c r="G852" s="531" t="s">
        <v>78</v>
      </c>
      <c r="H852" s="531" t="s">
        <v>78</v>
      </c>
      <c r="I852" s="531" t="s">
        <v>78</v>
      </c>
      <c r="J852" s="531" t="s">
        <v>78</v>
      </c>
      <c r="K852" s="531" t="s">
        <v>78</v>
      </c>
      <c r="L852" s="531" t="s">
        <v>78</v>
      </c>
      <c r="M852" s="531" t="s">
        <v>78</v>
      </c>
      <c r="N852" s="531" t="s">
        <v>78</v>
      </c>
      <c r="O852" s="531"/>
      <c r="P852" s="531" t="s">
        <v>78</v>
      </c>
      <c r="Q852" s="531" t="s">
        <v>507</v>
      </c>
      <c r="R852" s="531" t="s">
        <v>78</v>
      </c>
      <c r="S852" s="531" t="s">
        <v>78</v>
      </c>
    </row>
    <row r="853" spans="1:19" x14ac:dyDescent="0.35">
      <c r="A853" s="530" t="s">
        <v>264</v>
      </c>
      <c r="B853" s="530">
        <v>1695360</v>
      </c>
      <c r="C853" s="530">
        <v>17000</v>
      </c>
      <c r="D853" s="530" t="s">
        <v>78</v>
      </c>
      <c r="E853" s="530" t="s">
        <v>344</v>
      </c>
      <c r="F853" s="530" t="s">
        <v>78</v>
      </c>
      <c r="G853" s="530" t="s">
        <v>78</v>
      </c>
      <c r="H853" s="530" t="s">
        <v>78</v>
      </c>
      <c r="I853" s="530" t="s">
        <v>78</v>
      </c>
      <c r="J853" s="530" t="s">
        <v>78</v>
      </c>
      <c r="K853" s="530" t="s">
        <v>78</v>
      </c>
      <c r="L853" s="530" t="s">
        <v>78</v>
      </c>
      <c r="M853" s="530" t="s">
        <v>78</v>
      </c>
      <c r="N853" s="530" t="s">
        <v>78</v>
      </c>
      <c r="O853" s="530"/>
      <c r="P853" s="530" t="s">
        <v>78</v>
      </c>
      <c r="Q853" s="530" t="s">
        <v>17</v>
      </c>
      <c r="R853" s="530" t="s">
        <v>78</v>
      </c>
      <c r="S853" s="530" t="s">
        <v>78</v>
      </c>
    </row>
    <row r="854" spans="1:19" x14ac:dyDescent="0.35">
      <c r="A854" s="531" t="s">
        <v>264</v>
      </c>
      <c r="B854" s="531">
        <v>544160</v>
      </c>
      <c r="C854" s="531">
        <v>17000</v>
      </c>
      <c r="D854" s="531" t="s">
        <v>78</v>
      </c>
      <c r="E854" s="531" t="s">
        <v>344</v>
      </c>
      <c r="F854" s="531" t="s">
        <v>78</v>
      </c>
      <c r="G854" s="531" t="s">
        <v>78</v>
      </c>
      <c r="H854" s="531" t="s">
        <v>78</v>
      </c>
      <c r="I854" s="531" t="s">
        <v>78</v>
      </c>
      <c r="J854" s="531" t="s">
        <v>78</v>
      </c>
      <c r="K854" s="531" t="s">
        <v>78</v>
      </c>
      <c r="L854" s="531" t="s">
        <v>78</v>
      </c>
      <c r="M854" s="531" t="s">
        <v>78</v>
      </c>
      <c r="N854" s="531" t="s">
        <v>78</v>
      </c>
      <c r="O854" s="531"/>
      <c r="P854" s="531" t="s">
        <v>78</v>
      </c>
      <c r="Q854" s="531" t="s">
        <v>507</v>
      </c>
      <c r="R854" s="531" t="s">
        <v>78</v>
      </c>
      <c r="S854" s="531" t="s">
        <v>78</v>
      </c>
    </row>
    <row r="855" spans="1:19" x14ac:dyDescent="0.35">
      <c r="A855" t="s">
        <v>264</v>
      </c>
      <c r="B855">
        <v>1227560</v>
      </c>
      <c r="C855">
        <v>17000</v>
      </c>
      <c r="D855" t="s">
        <v>78</v>
      </c>
      <c r="E855" t="s">
        <v>439</v>
      </c>
      <c r="F855" t="s">
        <v>78</v>
      </c>
      <c r="G855" t="s">
        <v>78</v>
      </c>
      <c r="H855" t="s">
        <v>78</v>
      </c>
      <c r="I855" t="s">
        <v>78</v>
      </c>
      <c r="J855" t="s">
        <v>78</v>
      </c>
      <c r="K855" t="s">
        <v>78</v>
      </c>
      <c r="L855" t="s">
        <v>78</v>
      </c>
      <c r="M855" t="s">
        <v>78</v>
      </c>
      <c r="N855" t="s">
        <v>78</v>
      </c>
      <c r="P855" t="s">
        <v>78</v>
      </c>
      <c r="Q855" t="s">
        <v>151</v>
      </c>
      <c r="R855" t="s">
        <v>78</v>
      </c>
      <c r="S855" t="s">
        <v>78</v>
      </c>
    </row>
    <row r="856" spans="1:19" x14ac:dyDescent="0.35">
      <c r="A856" t="s">
        <v>264</v>
      </c>
      <c r="B856">
        <v>982400</v>
      </c>
      <c r="C856">
        <v>17000</v>
      </c>
      <c r="D856" t="s">
        <v>78</v>
      </c>
      <c r="E856" t="s">
        <v>376</v>
      </c>
      <c r="F856" t="s">
        <v>78</v>
      </c>
      <c r="G856" t="s">
        <v>78</v>
      </c>
      <c r="H856" t="s">
        <v>78</v>
      </c>
      <c r="I856" t="s">
        <v>78</v>
      </c>
      <c r="J856" t="s">
        <v>78</v>
      </c>
      <c r="K856" t="s">
        <v>78</v>
      </c>
      <c r="L856" t="s">
        <v>78</v>
      </c>
      <c r="M856" t="s">
        <v>78</v>
      </c>
      <c r="N856" t="s">
        <v>78</v>
      </c>
      <c r="O856" t="s">
        <v>78</v>
      </c>
      <c r="P856" t="s">
        <v>78</v>
      </c>
      <c r="Q856" t="s">
        <v>15</v>
      </c>
      <c r="R856" t="s">
        <v>78</v>
      </c>
      <c r="S856" t="s">
        <v>78</v>
      </c>
    </row>
    <row r="857" spans="1:19" x14ac:dyDescent="0.35">
      <c r="A857" s="530" t="s">
        <v>265</v>
      </c>
      <c r="B857" s="530">
        <v>284960</v>
      </c>
      <c r="C857" s="530">
        <v>17000</v>
      </c>
      <c r="D857" s="530" t="s">
        <v>78</v>
      </c>
      <c r="E857" s="530" t="s">
        <v>376</v>
      </c>
      <c r="F857" s="530" t="s">
        <v>78</v>
      </c>
      <c r="G857" s="530" t="s">
        <v>78</v>
      </c>
      <c r="H857" s="530" t="s">
        <v>78</v>
      </c>
      <c r="I857" s="530" t="s">
        <v>78</v>
      </c>
      <c r="J857" s="530" t="s">
        <v>78</v>
      </c>
      <c r="K857" s="530" t="s">
        <v>78</v>
      </c>
      <c r="L857" s="530" t="s">
        <v>78</v>
      </c>
      <c r="M857" s="530" t="s">
        <v>78</v>
      </c>
      <c r="N857" s="530" t="s">
        <v>78</v>
      </c>
      <c r="O857" s="530"/>
      <c r="P857" s="530" t="s">
        <v>78</v>
      </c>
      <c r="Q857" s="530" t="s">
        <v>357</v>
      </c>
      <c r="R857" s="530" t="s">
        <v>78</v>
      </c>
      <c r="S857" s="530" t="s">
        <v>78</v>
      </c>
    </row>
    <row r="858" spans="1:19" x14ac:dyDescent="0.35">
      <c r="A858" s="530" t="s">
        <v>265</v>
      </c>
      <c r="B858" s="530">
        <v>2142400</v>
      </c>
      <c r="C858" s="530">
        <v>17000</v>
      </c>
      <c r="D858" s="530" t="s">
        <v>78</v>
      </c>
      <c r="E858" s="530" t="s">
        <v>344</v>
      </c>
      <c r="F858" s="530" t="s">
        <v>78</v>
      </c>
      <c r="G858" s="530" t="s">
        <v>78</v>
      </c>
      <c r="H858" s="530" t="s">
        <v>78</v>
      </c>
      <c r="I858" s="530" t="s">
        <v>78</v>
      </c>
      <c r="J858" s="530" t="s">
        <v>78</v>
      </c>
      <c r="K858" s="530" t="s">
        <v>78</v>
      </c>
      <c r="L858" s="530" t="s">
        <v>78</v>
      </c>
      <c r="M858" s="530" t="s">
        <v>78</v>
      </c>
      <c r="N858" s="530" t="s">
        <v>78</v>
      </c>
      <c r="O858" s="530"/>
      <c r="P858" s="530" t="s">
        <v>78</v>
      </c>
      <c r="Q858" s="530" t="s">
        <v>17</v>
      </c>
      <c r="R858" s="530" t="s">
        <v>78</v>
      </c>
      <c r="S858" s="530" t="s">
        <v>78</v>
      </c>
    </row>
    <row r="859" spans="1:19" x14ac:dyDescent="0.35">
      <c r="A859" s="530" t="s">
        <v>265</v>
      </c>
      <c r="B859" s="530">
        <v>633880</v>
      </c>
      <c r="C859" s="530">
        <v>17000</v>
      </c>
      <c r="D859" s="530" t="s">
        <v>78</v>
      </c>
      <c r="E859" s="530" t="s">
        <v>346</v>
      </c>
      <c r="F859" s="530" t="s">
        <v>78</v>
      </c>
      <c r="G859" s="530" t="s">
        <v>78</v>
      </c>
      <c r="H859" s="530" t="s">
        <v>78</v>
      </c>
      <c r="I859" s="530" t="s">
        <v>78</v>
      </c>
      <c r="J859" s="530" t="s">
        <v>78</v>
      </c>
      <c r="K859" s="530" t="s">
        <v>78</v>
      </c>
      <c r="L859" s="530" t="s">
        <v>78</v>
      </c>
      <c r="M859" s="530" t="s">
        <v>78</v>
      </c>
      <c r="N859" s="530" t="s">
        <v>78</v>
      </c>
      <c r="O859" s="530"/>
      <c r="P859" s="530" t="s">
        <v>78</v>
      </c>
      <c r="Q859" s="530" t="s">
        <v>507</v>
      </c>
      <c r="R859" s="530" t="s">
        <v>78</v>
      </c>
      <c r="S859" s="530" t="s">
        <v>78</v>
      </c>
    </row>
    <row r="860" spans="1:19" x14ac:dyDescent="0.35">
      <c r="A860" t="s">
        <v>265</v>
      </c>
      <c r="B860">
        <v>1324000</v>
      </c>
      <c r="C860">
        <v>17000</v>
      </c>
      <c r="D860" t="s">
        <v>78</v>
      </c>
      <c r="E860" t="s">
        <v>346</v>
      </c>
      <c r="F860" t="s">
        <v>78</v>
      </c>
      <c r="G860" t="s">
        <v>78</v>
      </c>
      <c r="H860" t="s">
        <v>78</v>
      </c>
      <c r="I860" t="s">
        <v>78</v>
      </c>
      <c r="J860" t="s">
        <v>78</v>
      </c>
      <c r="K860" t="s">
        <v>78</v>
      </c>
      <c r="L860" t="s">
        <v>78</v>
      </c>
      <c r="M860" t="s">
        <v>78</v>
      </c>
      <c r="N860" t="s">
        <v>78</v>
      </c>
      <c r="P860" t="s">
        <v>78</v>
      </c>
      <c r="Q860" t="s">
        <v>15</v>
      </c>
      <c r="R860" t="s">
        <v>78</v>
      </c>
      <c r="S860" t="s">
        <v>78</v>
      </c>
    </row>
    <row r="861" spans="1:19" x14ac:dyDescent="0.35">
      <c r="A861" t="s">
        <v>265</v>
      </c>
      <c r="B861">
        <v>1128840</v>
      </c>
      <c r="C861">
        <v>17000</v>
      </c>
      <c r="D861" t="s">
        <v>78</v>
      </c>
      <c r="E861" t="s">
        <v>376</v>
      </c>
      <c r="F861" t="s">
        <v>78</v>
      </c>
      <c r="G861" t="s">
        <v>78</v>
      </c>
      <c r="H861" t="s">
        <v>78</v>
      </c>
      <c r="I861" t="s">
        <v>78</v>
      </c>
      <c r="J861" t="s">
        <v>78</v>
      </c>
      <c r="K861" t="s">
        <v>78</v>
      </c>
      <c r="L861" t="s">
        <v>78</v>
      </c>
      <c r="M861" t="s">
        <v>78</v>
      </c>
      <c r="N861" t="s">
        <v>78</v>
      </c>
      <c r="O861" t="s">
        <v>78</v>
      </c>
      <c r="P861" t="s">
        <v>78</v>
      </c>
      <c r="Q861" t="s">
        <v>151</v>
      </c>
      <c r="R861" t="s">
        <v>78</v>
      </c>
      <c r="S861" t="s">
        <v>78</v>
      </c>
    </row>
    <row r="862" spans="1:19" x14ac:dyDescent="0.35">
      <c r="A862" s="531" t="s">
        <v>267</v>
      </c>
      <c r="B862" s="531">
        <v>587720</v>
      </c>
      <c r="C862" s="531">
        <v>17000</v>
      </c>
      <c r="D862" s="531" t="s">
        <v>78</v>
      </c>
      <c r="E862" s="531" t="s">
        <v>376</v>
      </c>
      <c r="F862" s="531" t="s">
        <v>78</v>
      </c>
      <c r="G862" s="531" t="s">
        <v>78</v>
      </c>
      <c r="H862" s="531" t="s">
        <v>78</v>
      </c>
      <c r="I862" s="531" t="s">
        <v>78</v>
      </c>
      <c r="J862" s="531" t="s">
        <v>78</v>
      </c>
      <c r="K862" s="531" t="s">
        <v>78</v>
      </c>
      <c r="L862" s="531" t="s">
        <v>78</v>
      </c>
      <c r="M862" s="531" t="s">
        <v>78</v>
      </c>
      <c r="N862" s="531" t="s">
        <v>78</v>
      </c>
      <c r="O862" s="531"/>
      <c r="P862" s="531" t="s">
        <v>78</v>
      </c>
      <c r="Q862" s="531" t="s">
        <v>218</v>
      </c>
      <c r="R862" s="531" t="s">
        <v>78</v>
      </c>
      <c r="S862" s="531" t="s">
        <v>78</v>
      </c>
    </row>
    <row r="863" spans="1:19" x14ac:dyDescent="0.35">
      <c r="A863" s="531" t="s">
        <v>267</v>
      </c>
      <c r="B863" s="531">
        <v>2212560</v>
      </c>
      <c r="C863" s="531">
        <v>17000</v>
      </c>
      <c r="D863" s="531" t="s">
        <v>78</v>
      </c>
      <c r="E863" s="531" t="s">
        <v>344</v>
      </c>
      <c r="F863" s="531" t="s">
        <v>78</v>
      </c>
      <c r="G863" s="531" t="s">
        <v>78</v>
      </c>
      <c r="H863" s="531" t="s">
        <v>78</v>
      </c>
      <c r="I863" s="531" t="s">
        <v>78</v>
      </c>
      <c r="J863" s="531" t="s">
        <v>78</v>
      </c>
      <c r="K863" s="531" t="s">
        <v>78</v>
      </c>
      <c r="L863" s="531" t="s">
        <v>78</v>
      </c>
      <c r="M863" s="531" t="s">
        <v>78</v>
      </c>
      <c r="N863" s="531" t="s">
        <v>78</v>
      </c>
      <c r="O863" s="531"/>
      <c r="P863" s="531" t="s">
        <v>78</v>
      </c>
      <c r="Q863" s="531" t="s">
        <v>17</v>
      </c>
      <c r="R863" s="531" t="s">
        <v>78</v>
      </c>
      <c r="S863" s="531" t="s">
        <v>78</v>
      </c>
    </row>
    <row r="864" spans="1:19" x14ac:dyDescent="0.35">
      <c r="A864" s="530" t="s">
        <v>267</v>
      </c>
      <c r="B864" s="530">
        <v>902080</v>
      </c>
      <c r="C864" s="530">
        <v>17000</v>
      </c>
      <c r="D864" s="530" t="s">
        <v>78</v>
      </c>
      <c r="E864" s="530" t="s">
        <v>421</v>
      </c>
      <c r="F864" s="530" t="s">
        <v>78</v>
      </c>
      <c r="G864" s="530" t="s">
        <v>78</v>
      </c>
      <c r="H864" s="530" t="s">
        <v>78</v>
      </c>
      <c r="I864" s="530" t="s">
        <v>78</v>
      </c>
      <c r="J864" s="530" t="s">
        <v>78</v>
      </c>
      <c r="K864" s="530" t="s">
        <v>78</v>
      </c>
      <c r="L864" s="530" t="s">
        <v>78</v>
      </c>
      <c r="M864" s="530" t="s">
        <v>78</v>
      </c>
      <c r="N864" s="530" t="s">
        <v>78</v>
      </c>
      <c r="O864" s="530"/>
      <c r="P864" s="530" t="s">
        <v>78</v>
      </c>
      <c r="Q864" s="530" t="s">
        <v>17</v>
      </c>
      <c r="R864" s="530" t="s">
        <v>78</v>
      </c>
      <c r="S864" s="530" t="s">
        <v>78</v>
      </c>
    </row>
    <row r="865" spans="1:19" x14ac:dyDescent="0.35">
      <c r="A865" t="s">
        <v>267</v>
      </c>
      <c r="B865">
        <v>1463320</v>
      </c>
      <c r="C865">
        <v>17000</v>
      </c>
      <c r="D865" t="s">
        <v>78</v>
      </c>
      <c r="E865" t="s">
        <v>344</v>
      </c>
      <c r="F865" t="s">
        <v>78</v>
      </c>
      <c r="G865" t="s">
        <v>78</v>
      </c>
      <c r="H865" t="s">
        <v>78</v>
      </c>
      <c r="I865" t="s">
        <v>78</v>
      </c>
      <c r="J865" t="s">
        <v>78</v>
      </c>
      <c r="K865" t="s">
        <v>78</v>
      </c>
      <c r="L865" t="s">
        <v>78</v>
      </c>
      <c r="M865" t="s">
        <v>78</v>
      </c>
      <c r="N865" t="s">
        <v>78</v>
      </c>
      <c r="P865" t="s">
        <v>78</v>
      </c>
      <c r="Q865" t="s">
        <v>17</v>
      </c>
      <c r="R865" t="s">
        <v>78</v>
      </c>
      <c r="S865" t="s">
        <v>78</v>
      </c>
    </row>
    <row r="866" spans="1:19" x14ac:dyDescent="0.35">
      <c r="A866" t="s">
        <v>267</v>
      </c>
      <c r="B866">
        <v>1315000</v>
      </c>
      <c r="C866">
        <v>17000</v>
      </c>
      <c r="D866" t="s">
        <v>78</v>
      </c>
      <c r="E866" t="s">
        <v>376</v>
      </c>
      <c r="F866" t="s">
        <v>78</v>
      </c>
      <c r="G866" t="s">
        <v>78</v>
      </c>
      <c r="H866" t="s">
        <v>78</v>
      </c>
      <c r="I866" t="s">
        <v>78</v>
      </c>
      <c r="J866" t="s">
        <v>78</v>
      </c>
      <c r="K866" t="s">
        <v>78</v>
      </c>
      <c r="L866" t="s">
        <v>78</v>
      </c>
      <c r="M866" t="s">
        <v>78</v>
      </c>
      <c r="N866" t="s">
        <v>78</v>
      </c>
      <c r="O866" t="s">
        <v>78</v>
      </c>
      <c r="P866" t="s">
        <v>78</v>
      </c>
      <c r="Q866" t="s">
        <v>151</v>
      </c>
      <c r="R866" t="s">
        <v>78</v>
      </c>
      <c r="S866" t="s">
        <v>78</v>
      </c>
    </row>
    <row r="867" spans="1:19" x14ac:dyDescent="0.35">
      <c r="A867" s="530" t="s">
        <v>268</v>
      </c>
      <c r="B867" s="530">
        <v>182400</v>
      </c>
      <c r="C867" s="530">
        <v>17000</v>
      </c>
      <c r="D867" s="530" t="s">
        <v>78</v>
      </c>
      <c r="E867" s="530" t="s">
        <v>439</v>
      </c>
      <c r="F867" s="530" t="s">
        <v>78</v>
      </c>
      <c r="G867" s="530" t="s">
        <v>78</v>
      </c>
      <c r="H867" s="530" t="s">
        <v>78</v>
      </c>
      <c r="I867" s="530" t="s">
        <v>78</v>
      </c>
      <c r="J867" s="530" t="s">
        <v>78</v>
      </c>
      <c r="K867" s="530" t="s">
        <v>78</v>
      </c>
      <c r="L867" s="530" t="s">
        <v>78</v>
      </c>
      <c r="M867" s="530" t="s">
        <v>78</v>
      </c>
      <c r="N867" s="530" t="s">
        <v>78</v>
      </c>
      <c r="O867" s="530"/>
      <c r="P867" s="530" t="s">
        <v>78</v>
      </c>
      <c r="Q867" s="530" t="s">
        <v>151</v>
      </c>
      <c r="R867" s="530" t="s">
        <v>78</v>
      </c>
      <c r="S867" s="530" t="s">
        <v>78</v>
      </c>
    </row>
    <row r="868" spans="1:19" x14ac:dyDescent="0.35">
      <c r="A868" s="530" t="s">
        <v>268</v>
      </c>
      <c r="B868" s="530">
        <v>2277480</v>
      </c>
      <c r="C868" s="530">
        <v>17000</v>
      </c>
      <c r="D868" s="530" t="s">
        <v>78</v>
      </c>
      <c r="E868" s="530" t="s">
        <v>377</v>
      </c>
      <c r="F868" s="530" t="s">
        <v>78</v>
      </c>
      <c r="G868" s="530" t="s">
        <v>78</v>
      </c>
      <c r="H868" s="530" t="s">
        <v>78</v>
      </c>
      <c r="I868" s="530" t="s">
        <v>78</v>
      </c>
      <c r="J868" s="530" t="s">
        <v>78</v>
      </c>
      <c r="K868" s="530" t="s">
        <v>78</v>
      </c>
      <c r="L868" s="530" t="s">
        <v>78</v>
      </c>
      <c r="M868" s="530" t="s">
        <v>78</v>
      </c>
      <c r="N868" s="530" t="s">
        <v>78</v>
      </c>
      <c r="O868" s="530"/>
      <c r="P868" s="530" t="s">
        <v>78</v>
      </c>
      <c r="Q868" s="530" t="s">
        <v>218</v>
      </c>
      <c r="R868" s="530" t="s">
        <v>78</v>
      </c>
      <c r="S868" s="530" t="s">
        <v>78</v>
      </c>
    </row>
    <row r="869" spans="1:19" x14ac:dyDescent="0.35">
      <c r="A869" s="530" t="s">
        <v>268</v>
      </c>
      <c r="B869" s="530">
        <v>1267320</v>
      </c>
      <c r="C869" s="530">
        <v>17000</v>
      </c>
      <c r="D869" s="530" t="s">
        <v>78</v>
      </c>
      <c r="E869" s="530" t="s">
        <v>421</v>
      </c>
      <c r="F869" s="530" t="s">
        <v>78</v>
      </c>
      <c r="G869" s="530" t="s">
        <v>78</v>
      </c>
      <c r="H869" s="530" t="s">
        <v>78</v>
      </c>
      <c r="I869" s="530" t="s">
        <v>78</v>
      </c>
      <c r="J869" s="530" t="s">
        <v>78</v>
      </c>
      <c r="K869" s="530" t="s">
        <v>78</v>
      </c>
      <c r="L869" s="530" t="s">
        <v>78</v>
      </c>
      <c r="M869" s="530" t="s">
        <v>78</v>
      </c>
      <c r="N869" s="530" t="s">
        <v>78</v>
      </c>
      <c r="O869" s="530"/>
      <c r="P869" s="530" t="s">
        <v>78</v>
      </c>
      <c r="Q869" s="530" t="s">
        <v>17</v>
      </c>
      <c r="R869" s="530" t="s">
        <v>78</v>
      </c>
      <c r="S869" s="530" t="s">
        <v>78</v>
      </c>
    </row>
    <row r="870" spans="1:19" x14ac:dyDescent="0.35">
      <c r="A870" t="s">
        <v>268</v>
      </c>
      <c r="B870">
        <v>1792120</v>
      </c>
      <c r="C870">
        <v>17000</v>
      </c>
      <c r="D870" t="s">
        <v>78</v>
      </c>
      <c r="E870" t="s">
        <v>376</v>
      </c>
      <c r="F870" t="s">
        <v>78</v>
      </c>
      <c r="G870" t="s">
        <v>78</v>
      </c>
      <c r="H870" t="s">
        <v>78</v>
      </c>
      <c r="I870" t="s">
        <v>78</v>
      </c>
      <c r="J870" t="s">
        <v>78</v>
      </c>
      <c r="K870" t="s">
        <v>78</v>
      </c>
      <c r="L870" t="s">
        <v>78</v>
      </c>
      <c r="M870" t="s">
        <v>78</v>
      </c>
      <c r="N870" t="s">
        <v>78</v>
      </c>
      <c r="P870" t="s">
        <v>78</v>
      </c>
      <c r="Q870" t="s">
        <v>357</v>
      </c>
      <c r="R870" t="s">
        <v>78</v>
      </c>
      <c r="S870" t="s">
        <v>78</v>
      </c>
    </row>
    <row r="871" spans="1:19" x14ac:dyDescent="0.35">
      <c r="A871" t="s">
        <v>268</v>
      </c>
      <c r="B871">
        <v>25000</v>
      </c>
      <c r="C871">
        <v>17000</v>
      </c>
      <c r="D871" t="s">
        <v>78</v>
      </c>
      <c r="E871" t="s">
        <v>344</v>
      </c>
      <c r="F871" t="s">
        <v>78</v>
      </c>
      <c r="G871" t="s">
        <v>78</v>
      </c>
      <c r="H871" t="s">
        <v>78</v>
      </c>
      <c r="I871" t="s">
        <v>78</v>
      </c>
      <c r="J871" t="s">
        <v>78</v>
      </c>
      <c r="K871" t="s">
        <v>78</v>
      </c>
      <c r="L871" t="s">
        <v>78</v>
      </c>
      <c r="M871" t="s">
        <v>78</v>
      </c>
      <c r="N871" t="s">
        <v>78</v>
      </c>
      <c r="O871" t="s">
        <v>78</v>
      </c>
      <c r="P871" t="s">
        <v>78</v>
      </c>
      <c r="Q871" t="s">
        <v>17</v>
      </c>
      <c r="R871" t="s">
        <v>78</v>
      </c>
      <c r="S871" t="s">
        <v>78</v>
      </c>
    </row>
    <row r="872" spans="1:19" x14ac:dyDescent="0.35">
      <c r="A872" s="531" t="s">
        <v>269</v>
      </c>
      <c r="B872" s="531">
        <v>564760</v>
      </c>
      <c r="C872" s="531">
        <v>17000</v>
      </c>
      <c r="D872" s="531" t="s">
        <v>78</v>
      </c>
      <c r="E872" s="531" t="s">
        <v>344</v>
      </c>
      <c r="F872" s="531" t="s">
        <v>78</v>
      </c>
      <c r="G872" s="531" t="s">
        <v>78</v>
      </c>
      <c r="H872" s="531" t="s">
        <v>78</v>
      </c>
      <c r="I872" s="531" t="s">
        <v>78</v>
      </c>
      <c r="J872" s="531" t="s">
        <v>78</v>
      </c>
      <c r="K872" s="531" t="s">
        <v>78</v>
      </c>
      <c r="L872" s="531" t="s">
        <v>78</v>
      </c>
      <c r="M872" s="531" t="s">
        <v>78</v>
      </c>
      <c r="N872" s="531" t="s">
        <v>78</v>
      </c>
      <c r="O872" s="531"/>
      <c r="P872" s="531" t="s">
        <v>78</v>
      </c>
      <c r="Q872" s="531" t="s">
        <v>17</v>
      </c>
      <c r="R872" s="531" t="s">
        <v>78</v>
      </c>
      <c r="S872" s="531" t="s">
        <v>78</v>
      </c>
    </row>
    <row r="873" spans="1:19" x14ac:dyDescent="0.35">
      <c r="A873" s="531" t="s">
        <v>269</v>
      </c>
      <c r="B873" s="531">
        <v>2310600</v>
      </c>
      <c r="C873" s="531">
        <v>17000</v>
      </c>
      <c r="D873" s="531" t="s">
        <v>78</v>
      </c>
      <c r="E873" s="531" t="s">
        <v>344</v>
      </c>
      <c r="F873" s="531" t="s">
        <v>78</v>
      </c>
      <c r="G873" s="531" t="s">
        <v>78</v>
      </c>
      <c r="H873" s="531" t="s">
        <v>78</v>
      </c>
      <c r="I873" s="531" t="s">
        <v>78</v>
      </c>
      <c r="J873" s="531" t="s">
        <v>78</v>
      </c>
      <c r="K873" s="531" t="s">
        <v>78</v>
      </c>
      <c r="L873" s="531" t="s">
        <v>78</v>
      </c>
      <c r="M873" s="531" t="s">
        <v>78</v>
      </c>
      <c r="N873" s="531" t="s">
        <v>78</v>
      </c>
      <c r="O873" s="531"/>
      <c r="P873" s="531" t="s">
        <v>78</v>
      </c>
      <c r="Q873" s="531" t="s">
        <v>151</v>
      </c>
      <c r="R873" s="531" t="s">
        <v>78</v>
      </c>
      <c r="S873" s="531" t="s">
        <v>78</v>
      </c>
    </row>
    <row r="874" spans="1:19" x14ac:dyDescent="0.35">
      <c r="A874" s="531" t="s">
        <v>269</v>
      </c>
      <c r="B874" s="531">
        <v>1826040</v>
      </c>
      <c r="C874" s="531">
        <v>17000</v>
      </c>
      <c r="D874" s="531" t="s">
        <v>78</v>
      </c>
      <c r="E874" s="531" t="s">
        <v>415</v>
      </c>
      <c r="F874" s="531" t="s">
        <v>78</v>
      </c>
      <c r="G874" s="531" t="s">
        <v>78</v>
      </c>
      <c r="H874" s="531" t="s">
        <v>78</v>
      </c>
      <c r="I874" s="531" t="s">
        <v>78</v>
      </c>
      <c r="J874" s="531" t="s">
        <v>78</v>
      </c>
      <c r="K874" s="531" t="s">
        <v>78</v>
      </c>
      <c r="L874" s="531" t="s">
        <v>78</v>
      </c>
      <c r="M874" s="531" t="s">
        <v>78</v>
      </c>
      <c r="N874" s="531" t="s">
        <v>78</v>
      </c>
      <c r="O874" s="531"/>
      <c r="P874" s="531" t="s">
        <v>78</v>
      </c>
      <c r="Q874" s="531" t="s">
        <v>15</v>
      </c>
      <c r="R874" s="531" t="s">
        <v>78</v>
      </c>
      <c r="S874" s="531" t="s">
        <v>78</v>
      </c>
    </row>
    <row r="875" spans="1:19" x14ac:dyDescent="0.35">
      <c r="A875" t="s">
        <v>269</v>
      </c>
      <c r="B875">
        <v>1853920</v>
      </c>
      <c r="C875">
        <v>17000</v>
      </c>
      <c r="D875" t="s">
        <v>78</v>
      </c>
      <c r="E875" t="s">
        <v>376</v>
      </c>
      <c r="F875" t="s">
        <v>78</v>
      </c>
      <c r="G875" t="s">
        <v>78</v>
      </c>
      <c r="H875" t="s">
        <v>78</v>
      </c>
      <c r="I875" t="s">
        <v>78</v>
      </c>
      <c r="J875" t="s">
        <v>78</v>
      </c>
      <c r="K875" t="s">
        <v>78</v>
      </c>
      <c r="L875" t="s">
        <v>78</v>
      </c>
      <c r="M875" t="s">
        <v>78</v>
      </c>
      <c r="N875" t="s">
        <v>78</v>
      </c>
      <c r="P875" t="s">
        <v>78</v>
      </c>
      <c r="Q875" t="s">
        <v>15</v>
      </c>
      <c r="R875" t="s">
        <v>78</v>
      </c>
      <c r="S875" t="s">
        <v>78</v>
      </c>
    </row>
    <row r="876" spans="1:19" x14ac:dyDescent="0.35">
      <c r="A876" t="s">
        <v>269</v>
      </c>
      <c r="B876">
        <v>90320</v>
      </c>
      <c r="C876">
        <v>17000</v>
      </c>
      <c r="D876" t="s">
        <v>78</v>
      </c>
      <c r="E876" t="s">
        <v>415</v>
      </c>
      <c r="F876" t="s">
        <v>78</v>
      </c>
      <c r="G876" t="s">
        <v>78</v>
      </c>
      <c r="H876" t="s">
        <v>78</v>
      </c>
      <c r="I876" t="s">
        <v>78</v>
      </c>
      <c r="J876" t="s">
        <v>78</v>
      </c>
      <c r="K876" t="s">
        <v>78</v>
      </c>
      <c r="L876" t="s">
        <v>78</v>
      </c>
      <c r="M876" t="s">
        <v>78</v>
      </c>
      <c r="N876" t="s">
        <v>78</v>
      </c>
      <c r="O876" t="s">
        <v>78</v>
      </c>
      <c r="P876" t="s">
        <v>78</v>
      </c>
      <c r="Q876" t="s">
        <v>15</v>
      </c>
      <c r="R876" t="s">
        <v>78</v>
      </c>
      <c r="S876" t="s">
        <v>78</v>
      </c>
    </row>
    <row r="877" spans="1:19" x14ac:dyDescent="0.35">
      <c r="A877" t="s">
        <v>612</v>
      </c>
      <c r="B877">
        <v>1918120</v>
      </c>
      <c r="C877">
        <v>17000</v>
      </c>
      <c r="D877" t="s">
        <v>78</v>
      </c>
      <c r="E877" t="s">
        <v>413</v>
      </c>
      <c r="F877" t="s">
        <v>10</v>
      </c>
      <c r="G877" t="s">
        <v>22</v>
      </c>
      <c r="H877" t="s">
        <v>78</v>
      </c>
      <c r="I877" t="s">
        <v>78</v>
      </c>
      <c r="J877" t="s">
        <v>613</v>
      </c>
      <c r="K877" t="s">
        <v>78</v>
      </c>
      <c r="L877" t="s">
        <v>78</v>
      </c>
      <c r="M877" t="s">
        <v>78</v>
      </c>
      <c r="N877" t="s">
        <v>78</v>
      </c>
      <c r="P877" t="s">
        <v>78</v>
      </c>
      <c r="Q877" t="s">
        <v>78</v>
      </c>
      <c r="R877" t="s">
        <v>78</v>
      </c>
      <c r="S877" t="s">
        <v>78</v>
      </c>
    </row>
    <row r="878" spans="1:19" x14ac:dyDescent="0.35">
      <c r="A878" s="531" t="s">
        <v>125</v>
      </c>
      <c r="B878" s="531">
        <v>765200</v>
      </c>
      <c r="C878" s="531">
        <v>17000</v>
      </c>
      <c r="D878" s="531" t="s">
        <v>78</v>
      </c>
      <c r="E878" s="531" t="s">
        <v>343</v>
      </c>
      <c r="F878" s="531" t="s">
        <v>11</v>
      </c>
      <c r="G878" s="531" t="s">
        <v>12</v>
      </c>
      <c r="H878" s="531" t="s">
        <v>78</v>
      </c>
      <c r="I878" s="531" t="s">
        <v>78</v>
      </c>
      <c r="J878" s="531" t="s">
        <v>18</v>
      </c>
      <c r="K878" s="531" t="s">
        <v>78</v>
      </c>
      <c r="L878" s="531" t="s">
        <v>78</v>
      </c>
      <c r="M878" s="531" t="s">
        <v>78</v>
      </c>
      <c r="N878" s="531" t="s">
        <v>78</v>
      </c>
      <c r="O878" s="531"/>
      <c r="P878" s="531" t="s">
        <v>78</v>
      </c>
      <c r="Q878" s="531" t="s">
        <v>78</v>
      </c>
      <c r="R878" s="531" t="s">
        <v>78</v>
      </c>
      <c r="S878" s="531" t="s">
        <v>78</v>
      </c>
    </row>
    <row r="879" spans="1:19" x14ac:dyDescent="0.35">
      <c r="A879" s="530" t="s">
        <v>125</v>
      </c>
      <c r="B879" s="530">
        <v>647160</v>
      </c>
      <c r="C879" s="530">
        <v>17000</v>
      </c>
      <c r="D879" s="530" t="s">
        <v>78</v>
      </c>
      <c r="E879" s="530" t="s">
        <v>78</v>
      </c>
      <c r="F879" s="530" t="s">
        <v>79</v>
      </c>
      <c r="G879" s="530" t="s">
        <v>78</v>
      </c>
      <c r="H879" s="530" t="s">
        <v>78</v>
      </c>
      <c r="I879" s="530" t="s">
        <v>78</v>
      </c>
      <c r="J879" s="530" t="s">
        <v>18</v>
      </c>
      <c r="K879" s="530" t="s">
        <v>78</v>
      </c>
      <c r="L879" s="530" t="s">
        <v>78</v>
      </c>
      <c r="M879" s="530" t="s">
        <v>78</v>
      </c>
      <c r="N879" s="530" t="s">
        <v>78</v>
      </c>
      <c r="O879" s="530"/>
      <c r="P879" s="530" t="s">
        <v>78</v>
      </c>
      <c r="Q879" s="530" t="s">
        <v>78</v>
      </c>
      <c r="R879" s="530" t="s">
        <v>78</v>
      </c>
      <c r="S879" s="530" t="s">
        <v>78</v>
      </c>
    </row>
    <row r="880" spans="1:19" x14ac:dyDescent="0.35">
      <c r="A880" s="531" t="s">
        <v>125</v>
      </c>
      <c r="B880" s="531">
        <v>160600</v>
      </c>
      <c r="C880" s="531">
        <v>17000</v>
      </c>
      <c r="D880" s="531" t="s">
        <v>78</v>
      </c>
      <c r="E880" s="531" t="s">
        <v>78</v>
      </c>
      <c r="F880" s="531" t="s">
        <v>79</v>
      </c>
      <c r="G880" s="531" t="s">
        <v>78</v>
      </c>
      <c r="H880" s="531" t="s">
        <v>78</v>
      </c>
      <c r="I880" s="531" t="s">
        <v>78</v>
      </c>
      <c r="J880" s="531" t="s">
        <v>18</v>
      </c>
      <c r="K880" s="531" t="s">
        <v>78</v>
      </c>
      <c r="L880" s="531" t="s">
        <v>78</v>
      </c>
      <c r="M880" s="531" t="s">
        <v>78</v>
      </c>
      <c r="N880" s="531" t="s">
        <v>78</v>
      </c>
      <c r="O880" s="531"/>
      <c r="P880" s="531" t="s">
        <v>78</v>
      </c>
      <c r="Q880" s="531" t="s">
        <v>78</v>
      </c>
      <c r="R880" s="531" t="s">
        <v>78</v>
      </c>
      <c r="S880" s="531" t="s">
        <v>78</v>
      </c>
    </row>
    <row r="881" spans="1:19" x14ac:dyDescent="0.35">
      <c r="A881" t="s">
        <v>125</v>
      </c>
      <c r="B881">
        <v>64600</v>
      </c>
      <c r="C881">
        <v>17480</v>
      </c>
      <c r="D881" t="s">
        <v>78</v>
      </c>
      <c r="E881" t="s">
        <v>413</v>
      </c>
      <c r="F881" t="s">
        <v>11</v>
      </c>
      <c r="G881" t="s">
        <v>12</v>
      </c>
      <c r="H881" t="s">
        <v>78</v>
      </c>
      <c r="I881" t="s">
        <v>78</v>
      </c>
      <c r="J881" t="s">
        <v>18</v>
      </c>
      <c r="K881" t="s">
        <v>78</v>
      </c>
      <c r="L881" t="s">
        <v>78</v>
      </c>
      <c r="M881" t="s">
        <v>78</v>
      </c>
      <c r="N881" t="s">
        <v>78</v>
      </c>
      <c r="P881" t="s">
        <v>78</v>
      </c>
      <c r="Q881" t="s">
        <v>78</v>
      </c>
      <c r="R881" t="s">
        <v>78</v>
      </c>
      <c r="S881" t="s">
        <v>78</v>
      </c>
    </row>
    <row r="882" spans="1:19" x14ac:dyDescent="0.35">
      <c r="A882" t="s">
        <v>125</v>
      </c>
      <c r="B882">
        <v>425520</v>
      </c>
      <c r="C882">
        <v>17000</v>
      </c>
      <c r="D882" t="s">
        <v>78</v>
      </c>
      <c r="E882" t="s">
        <v>78</v>
      </c>
      <c r="F882" t="s">
        <v>79</v>
      </c>
      <c r="G882" t="s">
        <v>78</v>
      </c>
      <c r="H882" t="s">
        <v>78</v>
      </c>
      <c r="I882" t="s">
        <v>78</v>
      </c>
      <c r="J882" t="s">
        <v>18</v>
      </c>
      <c r="K882" t="s">
        <v>78</v>
      </c>
      <c r="L882" t="s">
        <v>78</v>
      </c>
      <c r="M882" t="s">
        <v>78</v>
      </c>
      <c r="N882" t="s">
        <v>78</v>
      </c>
      <c r="O882" t="s">
        <v>78</v>
      </c>
      <c r="P882" t="s">
        <v>78</v>
      </c>
      <c r="Q882" t="s">
        <v>78</v>
      </c>
      <c r="R882" t="s">
        <v>78</v>
      </c>
      <c r="S882" t="s">
        <v>78</v>
      </c>
    </row>
    <row r="883" spans="1:19" x14ac:dyDescent="0.35">
      <c r="A883" t="s">
        <v>614</v>
      </c>
      <c r="B883">
        <v>1126720</v>
      </c>
      <c r="C883">
        <v>17200</v>
      </c>
      <c r="D883" t="s">
        <v>78</v>
      </c>
      <c r="E883" t="s">
        <v>343</v>
      </c>
      <c r="F883" t="s">
        <v>83</v>
      </c>
      <c r="G883" t="s">
        <v>12</v>
      </c>
      <c r="H883" t="s">
        <v>78</v>
      </c>
      <c r="I883" t="s">
        <v>78</v>
      </c>
      <c r="J883" t="s">
        <v>18</v>
      </c>
      <c r="K883" t="s">
        <v>78</v>
      </c>
      <c r="L883" t="s">
        <v>78</v>
      </c>
      <c r="M883" t="s">
        <v>78</v>
      </c>
      <c r="N883" t="s">
        <v>78</v>
      </c>
      <c r="P883" t="s">
        <v>78</v>
      </c>
      <c r="Q883" t="s">
        <v>78</v>
      </c>
      <c r="R883" t="s">
        <v>78</v>
      </c>
      <c r="S883" t="s">
        <v>78</v>
      </c>
    </row>
    <row r="884" spans="1:19" x14ac:dyDescent="0.35">
      <c r="A884" t="s">
        <v>615</v>
      </c>
      <c r="B884">
        <v>1326040</v>
      </c>
      <c r="C884">
        <v>17000</v>
      </c>
      <c r="D884" t="s">
        <v>78</v>
      </c>
      <c r="E884" t="s">
        <v>343</v>
      </c>
      <c r="F884" t="s">
        <v>11</v>
      </c>
      <c r="G884" t="s">
        <v>12</v>
      </c>
      <c r="H884" t="s">
        <v>78</v>
      </c>
      <c r="I884" t="s">
        <v>78</v>
      </c>
      <c r="J884" t="s">
        <v>18</v>
      </c>
      <c r="K884" t="s">
        <v>78</v>
      </c>
      <c r="L884" t="s">
        <v>78</v>
      </c>
      <c r="M884" t="s">
        <v>78</v>
      </c>
      <c r="N884" t="s">
        <v>78</v>
      </c>
      <c r="P884" t="s">
        <v>78</v>
      </c>
      <c r="Q884" t="s">
        <v>78</v>
      </c>
      <c r="R884" t="s">
        <v>78</v>
      </c>
      <c r="S884" t="s">
        <v>78</v>
      </c>
    </row>
    <row r="885" spans="1:19" x14ac:dyDescent="0.35">
      <c r="A885" s="530" t="s">
        <v>126</v>
      </c>
      <c r="B885" s="530">
        <v>802520</v>
      </c>
      <c r="C885" s="530">
        <v>17000</v>
      </c>
      <c r="D885" s="530" t="s">
        <v>78</v>
      </c>
      <c r="E885" s="530" t="s">
        <v>78</v>
      </c>
      <c r="F885" s="530" t="s">
        <v>79</v>
      </c>
      <c r="G885" s="530" t="s">
        <v>78</v>
      </c>
      <c r="H885" s="530" t="s">
        <v>78</v>
      </c>
      <c r="I885" s="530" t="s">
        <v>78</v>
      </c>
      <c r="J885" s="530" t="s">
        <v>18</v>
      </c>
      <c r="K885" s="530" t="s">
        <v>78</v>
      </c>
      <c r="L885" s="530" t="s">
        <v>78</v>
      </c>
      <c r="M885" s="530" t="s">
        <v>78</v>
      </c>
      <c r="N885" s="530" t="s">
        <v>78</v>
      </c>
      <c r="O885" s="530"/>
      <c r="P885" s="530" t="s">
        <v>78</v>
      </c>
      <c r="Q885" s="530" t="s">
        <v>78</v>
      </c>
      <c r="R885" s="530" t="s">
        <v>78</v>
      </c>
      <c r="S885" s="530" t="s">
        <v>78</v>
      </c>
    </row>
    <row r="886" spans="1:19" x14ac:dyDescent="0.35">
      <c r="A886" s="530" t="s">
        <v>126</v>
      </c>
      <c r="B886" s="530">
        <v>1155160</v>
      </c>
      <c r="C886" s="530">
        <v>17000</v>
      </c>
      <c r="D886" s="530" t="s">
        <v>78</v>
      </c>
      <c r="E886" s="530" t="s">
        <v>413</v>
      </c>
      <c r="F886" s="530" t="s">
        <v>10</v>
      </c>
      <c r="G886" s="530" t="s">
        <v>12</v>
      </c>
      <c r="H886" s="530" t="s">
        <v>78</v>
      </c>
      <c r="I886" s="530" t="s">
        <v>78</v>
      </c>
      <c r="J886" s="530" t="s">
        <v>18</v>
      </c>
      <c r="K886" s="530" t="s">
        <v>78</v>
      </c>
      <c r="L886" s="530" t="s">
        <v>78</v>
      </c>
      <c r="M886" s="530" t="s">
        <v>78</v>
      </c>
      <c r="N886" s="530" t="s">
        <v>78</v>
      </c>
      <c r="O886" s="530"/>
      <c r="P886" s="530" t="s">
        <v>78</v>
      </c>
      <c r="Q886" s="530" t="s">
        <v>78</v>
      </c>
      <c r="R886" s="530" t="s">
        <v>78</v>
      </c>
      <c r="S886" s="530" t="s">
        <v>78</v>
      </c>
    </row>
    <row r="887" spans="1:19" x14ac:dyDescent="0.35">
      <c r="A887" s="531" t="s">
        <v>126</v>
      </c>
      <c r="B887" s="531">
        <v>399000</v>
      </c>
      <c r="C887" s="531">
        <v>17000</v>
      </c>
      <c r="D887" s="531" t="s">
        <v>78</v>
      </c>
      <c r="E887" s="531" t="s">
        <v>78</v>
      </c>
      <c r="F887" s="531" t="s">
        <v>79</v>
      </c>
      <c r="G887" s="531" t="s">
        <v>78</v>
      </c>
      <c r="H887" s="531" t="s">
        <v>78</v>
      </c>
      <c r="I887" s="531" t="s">
        <v>78</v>
      </c>
      <c r="J887" s="531" t="s">
        <v>18</v>
      </c>
      <c r="K887" s="531" t="s">
        <v>78</v>
      </c>
      <c r="L887" s="531" t="s">
        <v>78</v>
      </c>
      <c r="M887" s="531" t="s">
        <v>78</v>
      </c>
      <c r="N887" s="531" t="s">
        <v>78</v>
      </c>
      <c r="O887" s="531"/>
      <c r="P887" s="531" t="s">
        <v>78</v>
      </c>
      <c r="Q887" s="531" t="s">
        <v>78</v>
      </c>
      <c r="R887" s="531" t="s">
        <v>78</v>
      </c>
      <c r="S887" s="531" t="s">
        <v>78</v>
      </c>
    </row>
    <row r="888" spans="1:19" x14ac:dyDescent="0.35">
      <c r="A888" t="s">
        <v>126</v>
      </c>
      <c r="B888">
        <v>189880</v>
      </c>
      <c r="C888">
        <v>17000</v>
      </c>
      <c r="D888" t="s">
        <v>78</v>
      </c>
      <c r="E888" t="s">
        <v>413</v>
      </c>
      <c r="F888" t="s">
        <v>11</v>
      </c>
      <c r="G888" t="s">
        <v>12</v>
      </c>
      <c r="H888" t="s">
        <v>78</v>
      </c>
      <c r="I888" t="s">
        <v>78</v>
      </c>
      <c r="J888" t="s">
        <v>18</v>
      </c>
      <c r="K888" t="s">
        <v>78</v>
      </c>
      <c r="L888" t="s">
        <v>78</v>
      </c>
      <c r="M888" t="s">
        <v>78</v>
      </c>
      <c r="N888" t="s">
        <v>78</v>
      </c>
      <c r="P888" t="s">
        <v>78</v>
      </c>
      <c r="Q888" t="s">
        <v>78</v>
      </c>
      <c r="R888" t="s">
        <v>78</v>
      </c>
      <c r="S888" t="s">
        <v>78</v>
      </c>
    </row>
    <row r="889" spans="1:19" x14ac:dyDescent="0.35">
      <c r="A889" t="s">
        <v>126</v>
      </c>
      <c r="B889">
        <v>246400</v>
      </c>
      <c r="C889">
        <v>17000</v>
      </c>
      <c r="D889" t="s">
        <v>78</v>
      </c>
      <c r="E889" t="s">
        <v>78</v>
      </c>
      <c r="F889" t="s">
        <v>79</v>
      </c>
      <c r="G889" t="s">
        <v>78</v>
      </c>
      <c r="H889" t="s">
        <v>78</v>
      </c>
      <c r="I889" t="s">
        <v>78</v>
      </c>
      <c r="J889" t="s">
        <v>18</v>
      </c>
      <c r="K889" t="s">
        <v>78</v>
      </c>
      <c r="L889" t="s">
        <v>78</v>
      </c>
      <c r="M889" t="s">
        <v>78</v>
      </c>
      <c r="N889" t="s">
        <v>78</v>
      </c>
      <c r="O889" t="s">
        <v>78</v>
      </c>
      <c r="P889" t="s">
        <v>78</v>
      </c>
      <c r="Q889" t="s">
        <v>78</v>
      </c>
      <c r="R889" t="s">
        <v>78</v>
      </c>
      <c r="S889" t="s">
        <v>78</v>
      </c>
    </row>
    <row r="890" spans="1:19" x14ac:dyDescent="0.35">
      <c r="A890" s="531" t="s">
        <v>556</v>
      </c>
      <c r="B890" s="531">
        <v>1141880</v>
      </c>
      <c r="C890" s="531">
        <v>17000</v>
      </c>
      <c r="D890" s="531" t="s">
        <v>78</v>
      </c>
      <c r="E890" s="531" t="s">
        <v>343</v>
      </c>
      <c r="F890" s="531" t="s">
        <v>11</v>
      </c>
      <c r="G890" s="531" t="s">
        <v>12</v>
      </c>
      <c r="H890" s="531" t="s">
        <v>78</v>
      </c>
      <c r="I890" s="531" t="s">
        <v>78</v>
      </c>
      <c r="J890" s="531" t="s">
        <v>18</v>
      </c>
      <c r="K890" s="531" t="s">
        <v>78</v>
      </c>
      <c r="L890" s="531" t="s">
        <v>78</v>
      </c>
      <c r="M890" s="531" t="s">
        <v>78</v>
      </c>
      <c r="N890" s="531" t="s">
        <v>78</v>
      </c>
      <c r="O890" s="531"/>
      <c r="P890" s="531" t="s">
        <v>78</v>
      </c>
      <c r="Q890" s="531" t="s">
        <v>78</v>
      </c>
      <c r="R890" s="531" t="s">
        <v>78</v>
      </c>
      <c r="S890" s="531" t="s">
        <v>78</v>
      </c>
    </row>
    <row r="891" spans="1:19" x14ac:dyDescent="0.35">
      <c r="A891" s="531" t="s">
        <v>556</v>
      </c>
      <c r="B891" s="531">
        <v>685200</v>
      </c>
      <c r="C891" s="531">
        <v>17000</v>
      </c>
      <c r="D891" s="531" t="s">
        <v>78</v>
      </c>
      <c r="E891" s="531" t="s">
        <v>78</v>
      </c>
      <c r="F891" s="531" t="s">
        <v>13</v>
      </c>
      <c r="G891" s="531" t="s">
        <v>78</v>
      </c>
      <c r="H891" s="531" t="s">
        <v>78</v>
      </c>
      <c r="I891" s="531" t="s">
        <v>78</v>
      </c>
      <c r="J891" s="531" t="s">
        <v>18</v>
      </c>
      <c r="K891" s="531" t="s">
        <v>78</v>
      </c>
      <c r="L891" s="531" t="s">
        <v>78</v>
      </c>
      <c r="M891" s="531" t="s">
        <v>78</v>
      </c>
      <c r="N891" s="531" t="s">
        <v>78</v>
      </c>
      <c r="O891" s="531"/>
      <c r="P891" s="531" t="s">
        <v>78</v>
      </c>
      <c r="Q891" s="531" t="s">
        <v>78</v>
      </c>
      <c r="R891" s="531" t="s">
        <v>78</v>
      </c>
      <c r="S891" s="531" t="s">
        <v>78</v>
      </c>
    </row>
    <row r="892" spans="1:19" x14ac:dyDescent="0.35">
      <c r="A892" s="530" t="s">
        <v>556</v>
      </c>
      <c r="B892" s="530">
        <v>1281120</v>
      </c>
      <c r="C892" s="530">
        <v>17000</v>
      </c>
      <c r="D892" s="530" t="s">
        <v>78</v>
      </c>
      <c r="E892" s="530" t="s">
        <v>78</v>
      </c>
      <c r="F892" s="530" t="s">
        <v>79</v>
      </c>
      <c r="G892" s="530" t="s">
        <v>78</v>
      </c>
      <c r="H892" s="530" t="s">
        <v>78</v>
      </c>
      <c r="I892" s="530" t="s">
        <v>78</v>
      </c>
      <c r="J892" s="530" t="s">
        <v>18</v>
      </c>
      <c r="K892" s="530" t="s">
        <v>78</v>
      </c>
      <c r="L892" s="530" t="s">
        <v>78</v>
      </c>
      <c r="M892" s="530" t="s">
        <v>78</v>
      </c>
      <c r="N892" s="530" t="s">
        <v>78</v>
      </c>
      <c r="O892" s="530"/>
      <c r="P892" s="530" t="s">
        <v>78</v>
      </c>
      <c r="Q892" s="530" t="s">
        <v>78</v>
      </c>
      <c r="R892" s="530" t="s">
        <v>78</v>
      </c>
      <c r="S892" s="530" t="s">
        <v>78</v>
      </c>
    </row>
    <row r="893" spans="1:19" x14ac:dyDescent="0.35">
      <c r="A893" t="s">
        <v>556</v>
      </c>
      <c r="B893">
        <v>569760</v>
      </c>
      <c r="C893">
        <v>17000</v>
      </c>
      <c r="D893" t="s">
        <v>78</v>
      </c>
      <c r="E893" t="s">
        <v>413</v>
      </c>
      <c r="F893" t="s">
        <v>11</v>
      </c>
      <c r="G893" t="s">
        <v>12</v>
      </c>
      <c r="H893" t="s">
        <v>78</v>
      </c>
      <c r="I893" t="s">
        <v>78</v>
      </c>
      <c r="J893" t="s">
        <v>18</v>
      </c>
      <c r="K893" t="s">
        <v>78</v>
      </c>
      <c r="L893" t="s">
        <v>78</v>
      </c>
      <c r="M893" t="s">
        <v>78</v>
      </c>
      <c r="N893" t="s">
        <v>78</v>
      </c>
      <c r="P893" t="s">
        <v>78</v>
      </c>
      <c r="Q893" t="s">
        <v>78</v>
      </c>
      <c r="R893" t="s">
        <v>78</v>
      </c>
      <c r="S893" t="s">
        <v>78</v>
      </c>
    </row>
    <row r="894" spans="1:19" x14ac:dyDescent="0.35">
      <c r="A894" s="530" t="s">
        <v>557</v>
      </c>
      <c r="B894" s="530">
        <v>441880</v>
      </c>
      <c r="C894" s="530">
        <v>17200</v>
      </c>
      <c r="D894" s="530" t="s">
        <v>78</v>
      </c>
      <c r="E894" s="530" t="s">
        <v>343</v>
      </c>
      <c r="F894" s="530" t="s">
        <v>11</v>
      </c>
      <c r="G894" s="530" t="s">
        <v>12</v>
      </c>
      <c r="H894" s="530" t="s">
        <v>78</v>
      </c>
      <c r="I894" s="530" t="s">
        <v>78</v>
      </c>
      <c r="J894" s="530" t="s">
        <v>18</v>
      </c>
      <c r="K894" s="530" t="s">
        <v>78</v>
      </c>
      <c r="L894" s="530" t="s">
        <v>78</v>
      </c>
      <c r="M894" s="530" t="s">
        <v>78</v>
      </c>
      <c r="N894" s="530" t="s">
        <v>78</v>
      </c>
      <c r="O894" s="530"/>
      <c r="P894" s="530" t="s">
        <v>78</v>
      </c>
      <c r="Q894" s="530" t="s">
        <v>78</v>
      </c>
      <c r="R894" s="530" t="s">
        <v>78</v>
      </c>
      <c r="S894" s="530" t="s">
        <v>78</v>
      </c>
    </row>
    <row r="895" spans="1:19" x14ac:dyDescent="0.35">
      <c r="A895" s="530" t="s">
        <v>557</v>
      </c>
      <c r="B895" s="530">
        <v>1658520</v>
      </c>
      <c r="C895" s="530">
        <v>17000</v>
      </c>
      <c r="D895" s="530" t="s">
        <v>78</v>
      </c>
      <c r="E895" s="530" t="s">
        <v>413</v>
      </c>
      <c r="F895" s="530" t="s">
        <v>11</v>
      </c>
      <c r="G895" s="530" t="s">
        <v>12</v>
      </c>
      <c r="H895" s="530" t="s">
        <v>78</v>
      </c>
      <c r="I895" s="530" t="s">
        <v>78</v>
      </c>
      <c r="J895" s="530" t="s">
        <v>18</v>
      </c>
      <c r="K895" s="530" t="s">
        <v>78</v>
      </c>
      <c r="L895" s="530" t="s">
        <v>78</v>
      </c>
      <c r="M895" s="530" t="s">
        <v>78</v>
      </c>
      <c r="N895" s="530" t="s">
        <v>78</v>
      </c>
      <c r="O895" s="530"/>
      <c r="P895" s="530" t="s">
        <v>78</v>
      </c>
      <c r="Q895" s="530" t="s">
        <v>78</v>
      </c>
      <c r="R895" s="530" t="s">
        <v>78</v>
      </c>
      <c r="S895" s="530" t="s">
        <v>78</v>
      </c>
    </row>
    <row r="896" spans="1:19" x14ac:dyDescent="0.35">
      <c r="A896" s="531" t="s">
        <v>557</v>
      </c>
      <c r="B896" s="531">
        <v>753040</v>
      </c>
      <c r="C896" s="531">
        <v>17000</v>
      </c>
      <c r="D896" s="531" t="s">
        <v>78</v>
      </c>
      <c r="E896" s="531" t="s">
        <v>78</v>
      </c>
      <c r="F896" s="531" t="s">
        <v>13</v>
      </c>
      <c r="G896" s="531" t="s">
        <v>78</v>
      </c>
      <c r="H896" s="531" t="s">
        <v>78</v>
      </c>
      <c r="I896" s="531" t="s">
        <v>78</v>
      </c>
      <c r="J896" s="531" t="s">
        <v>18</v>
      </c>
      <c r="K896" s="531" t="s">
        <v>78</v>
      </c>
      <c r="L896" s="531" t="s">
        <v>78</v>
      </c>
      <c r="M896" s="531" t="s">
        <v>78</v>
      </c>
      <c r="N896" s="531" t="s">
        <v>78</v>
      </c>
      <c r="O896" s="531"/>
      <c r="P896" s="531" t="s">
        <v>78</v>
      </c>
      <c r="Q896" s="531" t="s">
        <v>78</v>
      </c>
      <c r="R896" s="531" t="s">
        <v>78</v>
      </c>
      <c r="S896" s="531" t="s">
        <v>78</v>
      </c>
    </row>
    <row r="897" spans="1:19" x14ac:dyDescent="0.35">
      <c r="A897" t="s">
        <v>557</v>
      </c>
      <c r="B897">
        <v>626720</v>
      </c>
      <c r="C897">
        <v>17000</v>
      </c>
      <c r="D897" t="s">
        <v>78</v>
      </c>
      <c r="E897" t="s">
        <v>78</v>
      </c>
      <c r="F897" t="s">
        <v>79</v>
      </c>
      <c r="G897" t="s">
        <v>78</v>
      </c>
      <c r="H897" t="s">
        <v>78</v>
      </c>
      <c r="I897" t="s">
        <v>78</v>
      </c>
      <c r="J897" t="s">
        <v>18</v>
      </c>
      <c r="K897" t="s">
        <v>78</v>
      </c>
      <c r="L897" t="s">
        <v>78</v>
      </c>
      <c r="M897" t="s">
        <v>78</v>
      </c>
      <c r="N897" t="s">
        <v>78</v>
      </c>
      <c r="P897" t="s">
        <v>78</v>
      </c>
      <c r="Q897" t="s">
        <v>78</v>
      </c>
      <c r="R897" t="s">
        <v>78</v>
      </c>
      <c r="S897" t="s">
        <v>78</v>
      </c>
    </row>
    <row r="898" spans="1:19" x14ac:dyDescent="0.35">
      <c r="A898" s="531" t="s">
        <v>513</v>
      </c>
      <c r="B898" s="531">
        <v>361400</v>
      </c>
      <c r="C898" s="531">
        <v>17000</v>
      </c>
      <c r="D898" s="531" t="s">
        <v>78</v>
      </c>
      <c r="E898" s="531" t="s">
        <v>413</v>
      </c>
      <c r="F898" s="531" t="s">
        <v>11</v>
      </c>
      <c r="G898" s="531" t="s">
        <v>12</v>
      </c>
      <c r="H898" s="531" t="s">
        <v>78</v>
      </c>
      <c r="I898" s="531" t="s">
        <v>78</v>
      </c>
      <c r="J898" s="531" t="s">
        <v>18</v>
      </c>
      <c r="K898" s="531" t="s">
        <v>78</v>
      </c>
      <c r="L898" s="531" t="s">
        <v>78</v>
      </c>
      <c r="M898" s="531" t="s">
        <v>78</v>
      </c>
      <c r="N898" s="531" t="s">
        <v>78</v>
      </c>
      <c r="O898" s="531"/>
      <c r="P898" s="531" t="s">
        <v>78</v>
      </c>
      <c r="Q898" s="531" t="s">
        <v>78</v>
      </c>
      <c r="R898" s="531" t="s">
        <v>78</v>
      </c>
      <c r="S898" s="531" t="s">
        <v>78</v>
      </c>
    </row>
    <row r="899" spans="1:19" x14ac:dyDescent="0.35">
      <c r="A899" s="531" t="s">
        <v>513</v>
      </c>
      <c r="B899" s="531">
        <v>1343640</v>
      </c>
      <c r="C899" s="531">
        <v>17000</v>
      </c>
      <c r="D899" s="531" t="s">
        <v>78</v>
      </c>
      <c r="E899" s="531" t="s">
        <v>343</v>
      </c>
      <c r="F899" s="531" t="s">
        <v>11</v>
      </c>
      <c r="G899" s="531" t="s">
        <v>12</v>
      </c>
      <c r="H899" s="531" t="s">
        <v>78</v>
      </c>
      <c r="I899" s="531" t="s">
        <v>78</v>
      </c>
      <c r="J899" s="531" t="s">
        <v>18</v>
      </c>
      <c r="K899" s="531" t="s">
        <v>78</v>
      </c>
      <c r="L899" s="531" t="s">
        <v>78</v>
      </c>
      <c r="M899" s="531" t="s">
        <v>78</v>
      </c>
      <c r="N899" s="531" t="s">
        <v>78</v>
      </c>
      <c r="O899" s="531"/>
      <c r="P899" s="531" t="s">
        <v>78</v>
      </c>
      <c r="Q899" s="531" t="s">
        <v>78</v>
      </c>
      <c r="R899" s="531" t="s">
        <v>78</v>
      </c>
      <c r="S899" s="531" t="s">
        <v>78</v>
      </c>
    </row>
    <row r="900" spans="1:19" x14ac:dyDescent="0.35">
      <c r="A900" t="s">
        <v>513</v>
      </c>
      <c r="B900">
        <v>282560</v>
      </c>
      <c r="C900">
        <v>17000</v>
      </c>
      <c r="D900" t="s">
        <v>78</v>
      </c>
      <c r="E900" t="s">
        <v>343</v>
      </c>
      <c r="F900" t="s">
        <v>11</v>
      </c>
      <c r="G900" t="s">
        <v>12</v>
      </c>
      <c r="H900" t="s">
        <v>78</v>
      </c>
      <c r="I900" t="s">
        <v>78</v>
      </c>
      <c r="J900" t="s">
        <v>18</v>
      </c>
      <c r="K900" t="s">
        <v>78</v>
      </c>
      <c r="L900" t="s">
        <v>78</v>
      </c>
      <c r="M900" t="s">
        <v>78</v>
      </c>
      <c r="N900" t="s">
        <v>78</v>
      </c>
      <c r="P900" t="s">
        <v>78</v>
      </c>
      <c r="Q900" t="s">
        <v>78</v>
      </c>
      <c r="R900" t="s">
        <v>78</v>
      </c>
      <c r="S900" t="s">
        <v>78</v>
      </c>
    </row>
    <row r="901" spans="1:19" x14ac:dyDescent="0.35">
      <c r="A901" s="530" t="s">
        <v>512</v>
      </c>
      <c r="B901" s="530">
        <v>465240</v>
      </c>
      <c r="C901" s="530">
        <v>17000</v>
      </c>
      <c r="D901" s="530" t="s">
        <v>78</v>
      </c>
      <c r="E901" s="530" t="s">
        <v>78</v>
      </c>
      <c r="F901" s="530" t="s">
        <v>79</v>
      </c>
      <c r="G901" s="530" t="s">
        <v>78</v>
      </c>
      <c r="H901" s="530" t="s">
        <v>78</v>
      </c>
      <c r="I901" s="530" t="s">
        <v>78</v>
      </c>
      <c r="J901" s="530" t="s">
        <v>18</v>
      </c>
      <c r="K901" s="530" t="s">
        <v>78</v>
      </c>
      <c r="L901" s="530" t="s">
        <v>78</v>
      </c>
      <c r="M901" s="530" t="s">
        <v>78</v>
      </c>
      <c r="N901" s="530" t="s">
        <v>78</v>
      </c>
      <c r="O901" s="530"/>
      <c r="P901" s="530" t="s">
        <v>78</v>
      </c>
      <c r="Q901" s="530" t="s">
        <v>78</v>
      </c>
      <c r="R901" s="530" t="s">
        <v>78</v>
      </c>
      <c r="S901" s="530" t="s">
        <v>78</v>
      </c>
    </row>
    <row r="902" spans="1:19" x14ac:dyDescent="0.35">
      <c r="A902" s="531" t="s">
        <v>512</v>
      </c>
      <c r="B902" s="531">
        <v>1541040</v>
      </c>
      <c r="C902" s="531">
        <v>17000</v>
      </c>
      <c r="D902" s="531" t="s">
        <v>78</v>
      </c>
      <c r="E902" s="531" t="s">
        <v>78</v>
      </c>
      <c r="F902" s="531" t="s">
        <v>79</v>
      </c>
      <c r="G902" s="531" t="s">
        <v>78</v>
      </c>
      <c r="H902" s="531" t="s">
        <v>78</v>
      </c>
      <c r="I902" s="531" t="s">
        <v>78</v>
      </c>
      <c r="J902" s="531" t="s">
        <v>18</v>
      </c>
      <c r="K902" s="531" t="s">
        <v>78</v>
      </c>
      <c r="L902" s="531" t="s">
        <v>78</v>
      </c>
      <c r="M902" s="531" t="s">
        <v>78</v>
      </c>
      <c r="N902" s="531" t="s">
        <v>78</v>
      </c>
      <c r="O902" s="531"/>
      <c r="P902" s="531" t="s">
        <v>78</v>
      </c>
      <c r="Q902" s="531" t="s">
        <v>78</v>
      </c>
      <c r="R902" s="531" t="s">
        <v>78</v>
      </c>
      <c r="S902" s="531" t="s">
        <v>78</v>
      </c>
    </row>
    <row r="903" spans="1:19" x14ac:dyDescent="0.35">
      <c r="A903" t="s">
        <v>512</v>
      </c>
      <c r="B903">
        <v>320560</v>
      </c>
      <c r="C903">
        <v>17000</v>
      </c>
      <c r="D903" t="s">
        <v>78</v>
      </c>
      <c r="E903" t="s">
        <v>343</v>
      </c>
      <c r="F903" t="s">
        <v>11</v>
      </c>
      <c r="G903" t="s">
        <v>12</v>
      </c>
      <c r="H903" t="s">
        <v>78</v>
      </c>
      <c r="I903" t="s">
        <v>78</v>
      </c>
      <c r="J903" t="s">
        <v>18</v>
      </c>
      <c r="K903" t="s">
        <v>78</v>
      </c>
      <c r="L903" t="s">
        <v>78</v>
      </c>
      <c r="M903" t="s">
        <v>78</v>
      </c>
      <c r="N903" t="s">
        <v>78</v>
      </c>
      <c r="P903" t="s">
        <v>78</v>
      </c>
      <c r="Q903" t="s">
        <v>78</v>
      </c>
      <c r="R903" t="s">
        <v>78</v>
      </c>
      <c r="S903" t="s">
        <v>78</v>
      </c>
    </row>
    <row r="904" spans="1:19" x14ac:dyDescent="0.35">
      <c r="A904" s="531" t="s">
        <v>511</v>
      </c>
      <c r="B904" s="531">
        <v>1211680</v>
      </c>
      <c r="C904" s="531">
        <v>17000</v>
      </c>
      <c r="D904" s="531" t="s">
        <v>78</v>
      </c>
      <c r="E904" s="531" t="s">
        <v>78</v>
      </c>
      <c r="F904" s="531" t="s">
        <v>79</v>
      </c>
      <c r="G904" s="531" t="s">
        <v>78</v>
      </c>
      <c r="H904" s="531" t="s">
        <v>78</v>
      </c>
      <c r="I904" s="531" t="s">
        <v>78</v>
      </c>
      <c r="J904" s="531" t="s">
        <v>18</v>
      </c>
      <c r="K904" s="531" t="s">
        <v>78</v>
      </c>
      <c r="L904" s="531" t="s">
        <v>78</v>
      </c>
      <c r="M904" s="531" t="s">
        <v>78</v>
      </c>
      <c r="N904" s="531" t="s">
        <v>78</v>
      </c>
      <c r="O904" s="531"/>
      <c r="P904" s="531" t="s">
        <v>78</v>
      </c>
      <c r="Q904" s="531" t="s">
        <v>78</v>
      </c>
      <c r="R904" s="531" t="s">
        <v>78</v>
      </c>
      <c r="S904" s="531" t="s">
        <v>78</v>
      </c>
    </row>
    <row r="905" spans="1:19" x14ac:dyDescent="0.35">
      <c r="A905" s="531" t="s">
        <v>511</v>
      </c>
      <c r="B905" s="531">
        <v>86880</v>
      </c>
      <c r="C905" s="531">
        <v>17000</v>
      </c>
      <c r="D905" s="531" t="s">
        <v>78</v>
      </c>
      <c r="E905" s="531" t="s">
        <v>78</v>
      </c>
      <c r="F905" s="531" t="s">
        <v>79</v>
      </c>
      <c r="G905" s="531" t="s">
        <v>78</v>
      </c>
      <c r="H905" s="531" t="s">
        <v>78</v>
      </c>
      <c r="I905" s="531" t="s">
        <v>78</v>
      </c>
      <c r="J905" s="531" t="s">
        <v>18</v>
      </c>
      <c r="K905" s="531" t="s">
        <v>78</v>
      </c>
      <c r="L905" s="531" t="s">
        <v>78</v>
      </c>
      <c r="M905" s="531" t="s">
        <v>78</v>
      </c>
      <c r="N905" s="531" t="s">
        <v>78</v>
      </c>
      <c r="O905" s="531"/>
      <c r="P905" s="531" t="s">
        <v>78</v>
      </c>
      <c r="Q905" s="531" t="s">
        <v>78</v>
      </c>
      <c r="R905" s="531" t="s">
        <v>78</v>
      </c>
      <c r="S905" s="531" t="s">
        <v>78</v>
      </c>
    </row>
    <row r="906" spans="1:19" x14ac:dyDescent="0.35">
      <c r="A906" t="s">
        <v>511</v>
      </c>
      <c r="B906">
        <v>549160</v>
      </c>
      <c r="C906">
        <v>17000</v>
      </c>
      <c r="D906" t="s">
        <v>78</v>
      </c>
      <c r="E906" t="s">
        <v>343</v>
      </c>
      <c r="F906" t="s">
        <v>11</v>
      </c>
      <c r="G906" t="s">
        <v>12</v>
      </c>
      <c r="H906" t="s">
        <v>78</v>
      </c>
      <c r="I906" t="s">
        <v>78</v>
      </c>
      <c r="J906" t="s">
        <v>18</v>
      </c>
      <c r="K906" t="s">
        <v>78</v>
      </c>
      <c r="L906" t="s">
        <v>78</v>
      </c>
      <c r="M906" t="s">
        <v>78</v>
      </c>
      <c r="N906" t="s">
        <v>78</v>
      </c>
      <c r="P906" t="s">
        <v>78</v>
      </c>
      <c r="Q906" t="s">
        <v>78</v>
      </c>
      <c r="R906" t="s">
        <v>78</v>
      </c>
      <c r="S906" t="s">
        <v>78</v>
      </c>
    </row>
    <row r="907" spans="1:19" x14ac:dyDescent="0.35">
      <c r="A907" s="530" t="s">
        <v>510</v>
      </c>
      <c r="B907" s="530">
        <v>1503840</v>
      </c>
      <c r="C907" s="530">
        <v>17000</v>
      </c>
      <c r="D907" s="530" t="s">
        <v>78</v>
      </c>
      <c r="E907" s="530" t="s">
        <v>78</v>
      </c>
      <c r="F907" s="530" t="s">
        <v>79</v>
      </c>
      <c r="G907" s="530" t="s">
        <v>78</v>
      </c>
      <c r="H907" s="530" t="s">
        <v>78</v>
      </c>
      <c r="I907" s="530" t="s">
        <v>78</v>
      </c>
      <c r="J907" s="530" t="s">
        <v>18</v>
      </c>
      <c r="K907" s="530" t="s">
        <v>78</v>
      </c>
      <c r="L907" s="530" t="s">
        <v>78</v>
      </c>
      <c r="M907" s="530" t="s">
        <v>78</v>
      </c>
      <c r="N907" s="530" t="s">
        <v>78</v>
      </c>
      <c r="O907" s="530"/>
      <c r="P907" s="530" t="s">
        <v>78</v>
      </c>
      <c r="Q907" s="530" t="s">
        <v>78</v>
      </c>
      <c r="R907" s="530" t="s">
        <v>78</v>
      </c>
      <c r="S907" s="530" t="s">
        <v>78</v>
      </c>
    </row>
    <row r="908" spans="1:19" x14ac:dyDescent="0.35">
      <c r="A908" t="s">
        <v>510</v>
      </c>
      <c r="B908">
        <v>586080</v>
      </c>
      <c r="C908">
        <v>17000</v>
      </c>
      <c r="D908" t="s">
        <v>78</v>
      </c>
      <c r="E908" t="s">
        <v>343</v>
      </c>
      <c r="F908" t="s">
        <v>11</v>
      </c>
      <c r="G908" t="s">
        <v>12</v>
      </c>
      <c r="H908" t="s">
        <v>78</v>
      </c>
      <c r="I908" t="s">
        <v>78</v>
      </c>
      <c r="J908" t="s">
        <v>18</v>
      </c>
      <c r="K908" t="s">
        <v>78</v>
      </c>
      <c r="L908" t="s">
        <v>78</v>
      </c>
      <c r="M908" t="s">
        <v>78</v>
      </c>
      <c r="N908" t="s">
        <v>78</v>
      </c>
      <c r="P908" t="s">
        <v>78</v>
      </c>
      <c r="Q908" t="s">
        <v>78</v>
      </c>
      <c r="R908" t="s">
        <v>78</v>
      </c>
      <c r="S908" t="s">
        <v>78</v>
      </c>
    </row>
    <row r="909" spans="1:19" x14ac:dyDescent="0.35">
      <c r="A909" s="531" t="s">
        <v>509</v>
      </c>
      <c r="B909" s="531">
        <v>0</v>
      </c>
      <c r="C909" s="531">
        <v>11640</v>
      </c>
      <c r="D909" s="531" t="s">
        <v>78</v>
      </c>
      <c r="E909" s="531" t="s">
        <v>78</v>
      </c>
      <c r="F909" s="531" t="s">
        <v>79</v>
      </c>
      <c r="G909" s="531" t="s">
        <v>78</v>
      </c>
      <c r="H909" s="531" t="s">
        <v>78</v>
      </c>
      <c r="I909" s="531" t="s">
        <v>78</v>
      </c>
      <c r="J909" s="531" t="s">
        <v>18</v>
      </c>
      <c r="K909" s="531" t="s">
        <v>78</v>
      </c>
      <c r="L909" s="531" t="s">
        <v>78</v>
      </c>
      <c r="M909" s="531" t="s">
        <v>78</v>
      </c>
      <c r="N909" s="531" t="s">
        <v>78</v>
      </c>
      <c r="O909" s="531"/>
      <c r="P909" s="531" t="s">
        <v>78</v>
      </c>
      <c r="Q909" s="531" t="s">
        <v>78</v>
      </c>
      <c r="R909" s="531" t="s">
        <v>78</v>
      </c>
      <c r="S909" s="531" t="s">
        <v>78</v>
      </c>
    </row>
    <row r="910" spans="1:19" x14ac:dyDescent="0.35">
      <c r="A910" t="s">
        <v>509</v>
      </c>
      <c r="B910">
        <v>921440</v>
      </c>
      <c r="C910">
        <v>17200</v>
      </c>
      <c r="D910" t="s">
        <v>78</v>
      </c>
      <c r="E910" t="s">
        <v>343</v>
      </c>
      <c r="F910" t="s">
        <v>11</v>
      </c>
      <c r="G910" t="s">
        <v>12</v>
      </c>
      <c r="H910" t="s">
        <v>78</v>
      </c>
      <c r="I910" t="s">
        <v>78</v>
      </c>
      <c r="J910" t="s">
        <v>18</v>
      </c>
      <c r="K910" t="s">
        <v>78</v>
      </c>
      <c r="L910" t="s">
        <v>78</v>
      </c>
      <c r="M910" t="s">
        <v>78</v>
      </c>
      <c r="N910" t="s">
        <v>78</v>
      </c>
      <c r="P910" t="s">
        <v>78</v>
      </c>
      <c r="Q910" t="s">
        <v>78</v>
      </c>
      <c r="R910" t="s">
        <v>78</v>
      </c>
      <c r="S910" t="s">
        <v>78</v>
      </c>
    </row>
    <row r="911" spans="1:19" x14ac:dyDescent="0.35">
      <c r="A911" s="530" t="s">
        <v>127</v>
      </c>
      <c r="B911" s="530">
        <v>447640</v>
      </c>
      <c r="C911" s="530">
        <v>23440</v>
      </c>
      <c r="D911" s="530" t="s">
        <v>78</v>
      </c>
      <c r="E911" s="530" t="s">
        <v>78</v>
      </c>
      <c r="F911" s="530" t="s">
        <v>105</v>
      </c>
      <c r="G911" s="530" t="s">
        <v>78</v>
      </c>
      <c r="H911" s="530" t="s">
        <v>78</v>
      </c>
      <c r="I911" s="530" t="s">
        <v>78</v>
      </c>
      <c r="J911" s="530" t="s">
        <v>14</v>
      </c>
      <c r="K911" s="530" t="s">
        <v>78</v>
      </c>
      <c r="L911" s="530" t="s">
        <v>78</v>
      </c>
      <c r="M911" s="530" t="s">
        <v>78</v>
      </c>
      <c r="N911" s="530" t="s">
        <v>78</v>
      </c>
      <c r="O911" s="530"/>
      <c r="P911" s="530" t="s">
        <v>78</v>
      </c>
      <c r="Q911" s="530" t="s">
        <v>78</v>
      </c>
      <c r="R911" s="530" t="s">
        <v>78</v>
      </c>
      <c r="S911" s="530" t="s">
        <v>78</v>
      </c>
    </row>
    <row r="912" spans="1:19" x14ac:dyDescent="0.35">
      <c r="A912" s="530" t="s">
        <v>127</v>
      </c>
      <c r="B912" s="530">
        <v>108560</v>
      </c>
      <c r="C912" s="530">
        <v>17000</v>
      </c>
      <c r="D912" s="530" t="s">
        <v>78</v>
      </c>
      <c r="E912" s="530" t="s">
        <v>343</v>
      </c>
      <c r="F912" s="530" t="s">
        <v>11</v>
      </c>
      <c r="G912" s="530" t="s">
        <v>303</v>
      </c>
      <c r="H912" s="530" t="s">
        <v>78</v>
      </c>
      <c r="I912" s="530" t="s">
        <v>78</v>
      </c>
      <c r="J912" s="530" t="s">
        <v>14</v>
      </c>
      <c r="K912" s="530" t="s">
        <v>78</v>
      </c>
      <c r="L912" s="530" t="s">
        <v>78</v>
      </c>
      <c r="M912" s="530" t="s">
        <v>78</v>
      </c>
      <c r="N912" s="530" t="s">
        <v>78</v>
      </c>
      <c r="O912" s="530"/>
      <c r="P912" s="530" t="s">
        <v>78</v>
      </c>
      <c r="Q912" s="530" t="s">
        <v>78</v>
      </c>
      <c r="R912" s="530" t="s">
        <v>78</v>
      </c>
      <c r="S912" s="530" t="s">
        <v>78</v>
      </c>
    </row>
    <row r="913" spans="1:19" x14ac:dyDescent="0.35">
      <c r="A913" s="530" t="s">
        <v>127</v>
      </c>
      <c r="B913" s="530">
        <v>702640</v>
      </c>
      <c r="C913" s="530">
        <v>17000</v>
      </c>
      <c r="D913" s="530" t="s">
        <v>78</v>
      </c>
      <c r="E913" s="530" t="s">
        <v>78</v>
      </c>
      <c r="F913" s="530" t="s">
        <v>79</v>
      </c>
      <c r="G913" s="530" t="s">
        <v>78</v>
      </c>
      <c r="H913" s="530" t="s">
        <v>78</v>
      </c>
      <c r="I913" s="530" t="s">
        <v>78</v>
      </c>
      <c r="J913" s="530" t="s">
        <v>14</v>
      </c>
      <c r="K913" s="530" t="s">
        <v>78</v>
      </c>
      <c r="L913" s="530" t="s">
        <v>78</v>
      </c>
      <c r="M913" s="530" t="s">
        <v>78</v>
      </c>
      <c r="N913" s="530" t="s">
        <v>78</v>
      </c>
      <c r="O913" s="530"/>
      <c r="P913" s="530" t="s">
        <v>78</v>
      </c>
      <c r="Q913" s="530" t="s">
        <v>78</v>
      </c>
      <c r="R913" s="530" t="s">
        <v>78</v>
      </c>
      <c r="S913" s="530" t="s">
        <v>78</v>
      </c>
    </row>
    <row r="914" spans="1:19" x14ac:dyDescent="0.35">
      <c r="A914" t="s">
        <v>127</v>
      </c>
      <c r="B914">
        <v>422280</v>
      </c>
      <c r="C914">
        <v>17000</v>
      </c>
      <c r="D914" t="s">
        <v>78</v>
      </c>
      <c r="E914" t="s">
        <v>78</v>
      </c>
      <c r="F914" t="s">
        <v>13</v>
      </c>
      <c r="G914" t="s">
        <v>78</v>
      </c>
      <c r="H914" t="s">
        <v>78</v>
      </c>
      <c r="I914" t="s">
        <v>78</v>
      </c>
      <c r="J914" t="s">
        <v>14</v>
      </c>
      <c r="K914" t="s">
        <v>78</v>
      </c>
      <c r="L914" t="s">
        <v>78</v>
      </c>
      <c r="M914" t="s">
        <v>78</v>
      </c>
      <c r="N914" t="s">
        <v>78</v>
      </c>
      <c r="P914" t="s">
        <v>78</v>
      </c>
      <c r="Q914" t="s">
        <v>78</v>
      </c>
      <c r="R914" t="s">
        <v>78</v>
      </c>
      <c r="S914" t="s">
        <v>78</v>
      </c>
    </row>
    <row r="915" spans="1:19" x14ac:dyDescent="0.35">
      <c r="A915" t="s">
        <v>127</v>
      </c>
      <c r="B915">
        <v>456600</v>
      </c>
      <c r="C915">
        <v>17000</v>
      </c>
      <c r="D915" t="s">
        <v>78</v>
      </c>
      <c r="E915" t="s">
        <v>343</v>
      </c>
      <c r="F915" t="s">
        <v>83</v>
      </c>
      <c r="G915" t="s">
        <v>308</v>
      </c>
      <c r="H915" t="s">
        <v>78</v>
      </c>
      <c r="I915" t="s">
        <v>78</v>
      </c>
      <c r="J915" t="s">
        <v>14</v>
      </c>
      <c r="K915" t="s">
        <v>78</v>
      </c>
      <c r="L915" t="s">
        <v>78</v>
      </c>
      <c r="M915" t="s">
        <v>78</v>
      </c>
      <c r="N915" t="s">
        <v>78</v>
      </c>
      <c r="O915" t="s">
        <v>78</v>
      </c>
      <c r="P915" t="s">
        <v>78</v>
      </c>
      <c r="Q915" t="s">
        <v>78</v>
      </c>
      <c r="R915" t="s">
        <v>78</v>
      </c>
      <c r="S915" t="s">
        <v>78</v>
      </c>
    </row>
    <row r="916" spans="1:19" x14ac:dyDescent="0.35">
      <c r="A916" s="531" t="s">
        <v>240</v>
      </c>
      <c r="B916" s="531">
        <v>536040</v>
      </c>
      <c r="C916" s="531">
        <v>17000</v>
      </c>
      <c r="D916" s="531" t="s">
        <v>78</v>
      </c>
      <c r="E916" s="531" t="s">
        <v>78</v>
      </c>
      <c r="F916" s="531" t="s">
        <v>13</v>
      </c>
      <c r="G916" s="531" t="s">
        <v>78</v>
      </c>
      <c r="H916" s="531" t="s">
        <v>78</v>
      </c>
      <c r="I916" s="531" t="s">
        <v>78</v>
      </c>
      <c r="J916" s="531" t="s">
        <v>14</v>
      </c>
      <c r="K916" s="531" t="s">
        <v>78</v>
      </c>
      <c r="L916" s="531" t="s">
        <v>78</v>
      </c>
      <c r="M916" s="531" t="s">
        <v>78</v>
      </c>
      <c r="N916" s="531" t="s">
        <v>78</v>
      </c>
      <c r="O916" s="531"/>
      <c r="P916" s="531" t="s">
        <v>78</v>
      </c>
      <c r="Q916" s="531" t="s">
        <v>78</v>
      </c>
      <c r="R916" s="531" t="s">
        <v>78</v>
      </c>
      <c r="S916" s="531" t="s">
        <v>78</v>
      </c>
    </row>
    <row r="917" spans="1:19" x14ac:dyDescent="0.35">
      <c r="A917" s="531" t="s">
        <v>240</v>
      </c>
      <c r="B917" s="531">
        <v>643200</v>
      </c>
      <c r="C917" s="531">
        <v>17000</v>
      </c>
      <c r="D917" s="531" t="s">
        <v>78</v>
      </c>
      <c r="E917" s="531" t="s">
        <v>343</v>
      </c>
      <c r="F917" s="531" t="s">
        <v>11</v>
      </c>
      <c r="G917" s="531" t="s">
        <v>304</v>
      </c>
      <c r="H917" s="531" t="s">
        <v>78</v>
      </c>
      <c r="I917" s="531" t="s">
        <v>78</v>
      </c>
      <c r="J917" s="531" t="s">
        <v>14</v>
      </c>
      <c r="K917" s="531" t="s">
        <v>78</v>
      </c>
      <c r="L917" s="531" t="s">
        <v>78</v>
      </c>
      <c r="M917" s="531" t="s">
        <v>78</v>
      </c>
      <c r="N917" s="531" t="s">
        <v>78</v>
      </c>
      <c r="O917" s="531"/>
      <c r="P917" s="531" t="s">
        <v>78</v>
      </c>
      <c r="Q917" s="531" t="s">
        <v>78</v>
      </c>
      <c r="R917" s="531" t="s">
        <v>78</v>
      </c>
      <c r="S917" s="531" t="s">
        <v>78</v>
      </c>
    </row>
    <row r="918" spans="1:19" x14ac:dyDescent="0.35">
      <c r="A918" s="530" t="s">
        <v>240</v>
      </c>
      <c r="B918" s="530">
        <v>1198760</v>
      </c>
      <c r="C918" s="530">
        <v>17000</v>
      </c>
      <c r="D918" s="530" t="s">
        <v>78</v>
      </c>
      <c r="E918" s="530" t="s">
        <v>78</v>
      </c>
      <c r="F918" s="530" t="s">
        <v>13</v>
      </c>
      <c r="G918" s="530" t="s">
        <v>78</v>
      </c>
      <c r="H918" s="530" t="s">
        <v>78</v>
      </c>
      <c r="I918" s="530" t="s">
        <v>78</v>
      </c>
      <c r="J918" s="530" t="s">
        <v>14</v>
      </c>
      <c r="K918" s="530" t="s">
        <v>78</v>
      </c>
      <c r="L918" s="530" t="s">
        <v>78</v>
      </c>
      <c r="M918" s="530" t="s">
        <v>78</v>
      </c>
      <c r="N918" s="530" t="s">
        <v>78</v>
      </c>
      <c r="O918" s="530"/>
      <c r="P918" s="530" t="s">
        <v>78</v>
      </c>
      <c r="Q918" s="530" t="s">
        <v>78</v>
      </c>
      <c r="R918" s="530" t="s">
        <v>78</v>
      </c>
      <c r="S918" s="530" t="s">
        <v>78</v>
      </c>
    </row>
    <row r="919" spans="1:19" x14ac:dyDescent="0.35">
      <c r="A919" t="s">
        <v>240</v>
      </c>
      <c r="B919">
        <v>1370120</v>
      </c>
      <c r="C919">
        <v>17000</v>
      </c>
      <c r="D919" t="s">
        <v>78</v>
      </c>
      <c r="E919" t="s">
        <v>78</v>
      </c>
      <c r="F919" t="s">
        <v>13</v>
      </c>
      <c r="G919" t="s">
        <v>78</v>
      </c>
      <c r="H919" t="s">
        <v>78</v>
      </c>
      <c r="I919" t="s">
        <v>78</v>
      </c>
      <c r="J919" t="s">
        <v>14</v>
      </c>
      <c r="K919" t="s">
        <v>78</v>
      </c>
      <c r="L919" t="s">
        <v>78</v>
      </c>
      <c r="M919" t="s">
        <v>78</v>
      </c>
      <c r="N919" t="s">
        <v>78</v>
      </c>
      <c r="P919" t="s">
        <v>78</v>
      </c>
      <c r="Q919" t="s">
        <v>78</v>
      </c>
      <c r="R919" t="s">
        <v>78</v>
      </c>
      <c r="S919" t="s">
        <v>78</v>
      </c>
    </row>
    <row r="920" spans="1:19" x14ac:dyDescent="0.35">
      <c r="A920" t="s">
        <v>240</v>
      </c>
      <c r="B920">
        <v>519760</v>
      </c>
      <c r="C920">
        <v>17000</v>
      </c>
      <c r="D920" t="s">
        <v>78</v>
      </c>
      <c r="E920" t="s">
        <v>78</v>
      </c>
      <c r="F920" t="s">
        <v>78</v>
      </c>
      <c r="G920" t="s">
        <v>78</v>
      </c>
      <c r="H920" t="s">
        <v>78</v>
      </c>
      <c r="I920" t="s">
        <v>78</v>
      </c>
      <c r="J920" t="s">
        <v>14</v>
      </c>
      <c r="K920" t="s">
        <v>78</v>
      </c>
      <c r="L920" t="s">
        <v>78</v>
      </c>
      <c r="M920" t="s">
        <v>78</v>
      </c>
      <c r="N920" t="s">
        <v>78</v>
      </c>
      <c r="O920" t="s">
        <v>78</v>
      </c>
      <c r="P920" t="s">
        <v>78</v>
      </c>
      <c r="Q920" t="s">
        <v>78</v>
      </c>
      <c r="R920" t="s">
        <v>78</v>
      </c>
      <c r="S920" t="s">
        <v>78</v>
      </c>
    </row>
    <row r="921" spans="1:19" x14ac:dyDescent="0.35">
      <c r="A921" s="530" t="s">
        <v>241</v>
      </c>
      <c r="B921" s="530">
        <v>195400</v>
      </c>
      <c r="C921" s="530">
        <v>17000</v>
      </c>
      <c r="D921" s="530" t="s">
        <v>78</v>
      </c>
      <c r="E921" s="530" t="s">
        <v>78</v>
      </c>
      <c r="F921" s="530" t="s">
        <v>79</v>
      </c>
      <c r="G921" s="530" t="s">
        <v>78</v>
      </c>
      <c r="H921" s="530" t="s">
        <v>78</v>
      </c>
      <c r="I921" s="530" t="s">
        <v>78</v>
      </c>
      <c r="J921" s="530" t="s">
        <v>14</v>
      </c>
      <c r="K921" s="530" t="s">
        <v>78</v>
      </c>
      <c r="L921" s="530" t="s">
        <v>78</v>
      </c>
      <c r="M921" s="530" t="s">
        <v>78</v>
      </c>
      <c r="N921" s="530" t="s">
        <v>78</v>
      </c>
      <c r="O921" s="530"/>
      <c r="P921" s="530" t="s">
        <v>78</v>
      </c>
      <c r="Q921" s="530" t="s">
        <v>78</v>
      </c>
      <c r="R921" s="530" t="s">
        <v>78</v>
      </c>
      <c r="S921" s="530" t="s">
        <v>78</v>
      </c>
    </row>
    <row r="922" spans="1:19" x14ac:dyDescent="0.35">
      <c r="A922" s="530" t="s">
        <v>241</v>
      </c>
      <c r="B922" s="530">
        <v>1706280</v>
      </c>
      <c r="C922" s="530">
        <v>17000</v>
      </c>
      <c r="D922" s="530" t="s">
        <v>78</v>
      </c>
      <c r="E922" s="530" t="s">
        <v>413</v>
      </c>
      <c r="F922" s="530" t="s">
        <v>10</v>
      </c>
      <c r="G922" s="530" t="s">
        <v>306</v>
      </c>
      <c r="H922" s="530" t="s">
        <v>78</v>
      </c>
      <c r="I922" s="530" t="s">
        <v>78</v>
      </c>
      <c r="J922" s="530" t="s">
        <v>14</v>
      </c>
      <c r="K922" s="530" t="s">
        <v>78</v>
      </c>
      <c r="L922" s="530" t="s">
        <v>78</v>
      </c>
      <c r="M922" s="530" t="s">
        <v>78</v>
      </c>
      <c r="N922" s="530" t="s">
        <v>78</v>
      </c>
      <c r="O922" s="530"/>
      <c r="P922" s="530" t="s">
        <v>78</v>
      </c>
      <c r="Q922" s="530" t="s">
        <v>78</v>
      </c>
      <c r="R922" s="530" t="s">
        <v>78</v>
      </c>
      <c r="S922" s="530" t="s">
        <v>78</v>
      </c>
    </row>
    <row r="923" spans="1:19" x14ac:dyDescent="0.35">
      <c r="A923" s="530" t="s">
        <v>241</v>
      </c>
      <c r="B923" s="530">
        <v>1166000</v>
      </c>
      <c r="C923" s="530">
        <v>17000</v>
      </c>
      <c r="D923" s="530" t="s">
        <v>78</v>
      </c>
      <c r="E923" s="530" t="s">
        <v>343</v>
      </c>
      <c r="F923" s="530" t="s">
        <v>10</v>
      </c>
      <c r="G923" s="530" t="s">
        <v>301</v>
      </c>
      <c r="H923" s="530" t="s">
        <v>78</v>
      </c>
      <c r="I923" s="530" t="s">
        <v>78</v>
      </c>
      <c r="J923" s="530" t="s">
        <v>14</v>
      </c>
      <c r="K923" s="530" t="s">
        <v>78</v>
      </c>
      <c r="L923" s="530" t="s">
        <v>78</v>
      </c>
      <c r="M923" s="530" t="s">
        <v>78</v>
      </c>
      <c r="N923" s="530" t="s">
        <v>78</v>
      </c>
      <c r="O923" s="530"/>
      <c r="P923" s="530" t="s">
        <v>78</v>
      </c>
      <c r="Q923" s="530" t="s">
        <v>78</v>
      </c>
      <c r="R923" s="530" t="s">
        <v>78</v>
      </c>
      <c r="S923" s="530" t="s">
        <v>78</v>
      </c>
    </row>
    <row r="924" spans="1:19" x14ac:dyDescent="0.35">
      <c r="A924" t="s">
        <v>241</v>
      </c>
      <c r="B924">
        <v>1537680</v>
      </c>
      <c r="C924">
        <v>17000</v>
      </c>
      <c r="D924" t="s">
        <v>78</v>
      </c>
      <c r="E924" t="s">
        <v>78</v>
      </c>
      <c r="F924" t="s">
        <v>79</v>
      </c>
      <c r="G924" t="s">
        <v>78</v>
      </c>
      <c r="H924" t="s">
        <v>78</v>
      </c>
      <c r="I924" t="s">
        <v>78</v>
      </c>
      <c r="J924" t="s">
        <v>14</v>
      </c>
      <c r="K924" t="s">
        <v>78</v>
      </c>
      <c r="L924" t="s">
        <v>78</v>
      </c>
      <c r="M924" t="s">
        <v>78</v>
      </c>
      <c r="N924" t="s">
        <v>78</v>
      </c>
      <c r="P924" t="s">
        <v>78</v>
      </c>
      <c r="Q924" t="s">
        <v>78</v>
      </c>
      <c r="R924" t="s">
        <v>78</v>
      </c>
      <c r="S924" t="s">
        <v>78</v>
      </c>
    </row>
    <row r="925" spans="1:19" x14ac:dyDescent="0.35">
      <c r="A925" t="s">
        <v>241</v>
      </c>
      <c r="B925">
        <v>896040</v>
      </c>
      <c r="C925">
        <v>17000</v>
      </c>
      <c r="D925" t="s">
        <v>78</v>
      </c>
      <c r="E925" t="s">
        <v>78</v>
      </c>
      <c r="F925" t="s">
        <v>79</v>
      </c>
      <c r="G925" t="s">
        <v>78</v>
      </c>
      <c r="H925" t="s">
        <v>78</v>
      </c>
      <c r="I925" t="s">
        <v>78</v>
      </c>
      <c r="J925" t="s">
        <v>14</v>
      </c>
      <c r="K925" t="s">
        <v>78</v>
      </c>
      <c r="L925" t="s">
        <v>78</v>
      </c>
      <c r="M925" t="s">
        <v>78</v>
      </c>
      <c r="N925" t="s">
        <v>78</v>
      </c>
      <c r="O925" t="s">
        <v>78</v>
      </c>
      <c r="P925" t="s">
        <v>78</v>
      </c>
      <c r="Q925" t="s">
        <v>78</v>
      </c>
      <c r="R925" t="s">
        <v>78</v>
      </c>
      <c r="S925" t="s">
        <v>78</v>
      </c>
    </row>
    <row r="926" spans="1:19" x14ac:dyDescent="0.35">
      <c r="A926" s="531" t="s">
        <v>481</v>
      </c>
      <c r="B926" s="531">
        <v>311880</v>
      </c>
      <c r="C926" s="531">
        <v>17000</v>
      </c>
      <c r="D926" s="531" t="s">
        <v>78</v>
      </c>
      <c r="E926" s="531" t="s">
        <v>413</v>
      </c>
      <c r="F926" s="531" t="s">
        <v>11</v>
      </c>
      <c r="G926" s="531" t="s">
        <v>17</v>
      </c>
      <c r="H926" s="531" t="s">
        <v>78</v>
      </c>
      <c r="I926" s="531" t="s">
        <v>78</v>
      </c>
      <c r="J926" s="531" t="s">
        <v>14</v>
      </c>
      <c r="K926" s="531" t="s">
        <v>78</v>
      </c>
      <c r="L926" s="531" t="s">
        <v>78</v>
      </c>
      <c r="M926" s="531" t="s">
        <v>78</v>
      </c>
      <c r="N926" s="531" t="s">
        <v>78</v>
      </c>
      <c r="O926" s="531"/>
      <c r="P926" s="531" t="s">
        <v>78</v>
      </c>
      <c r="Q926" s="531" t="s">
        <v>78</v>
      </c>
      <c r="R926" s="531" t="s">
        <v>78</v>
      </c>
      <c r="S926" s="531" t="s">
        <v>78</v>
      </c>
    </row>
    <row r="927" spans="1:19" x14ac:dyDescent="0.35">
      <c r="A927" s="531" t="s">
        <v>481</v>
      </c>
      <c r="B927" s="531">
        <v>2078840</v>
      </c>
      <c r="C927" s="531">
        <v>17000</v>
      </c>
      <c r="D927" s="531" t="s">
        <v>78</v>
      </c>
      <c r="E927" s="531" t="s">
        <v>343</v>
      </c>
      <c r="F927" s="531" t="s">
        <v>280</v>
      </c>
      <c r="G927" s="531" t="s">
        <v>306</v>
      </c>
      <c r="H927" s="531" t="s">
        <v>78</v>
      </c>
      <c r="I927" s="531" t="s">
        <v>78</v>
      </c>
      <c r="J927" s="531" t="s">
        <v>14</v>
      </c>
      <c r="K927" s="531" t="s">
        <v>78</v>
      </c>
      <c r="L927" s="531" t="s">
        <v>78</v>
      </c>
      <c r="M927" s="531" t="s">
        <v>78</v>
      </c>
      <c r="N927" s="531" t="s">
        <v>78</v>
      </c>
      <c r="O927" s="531"/>
      <c r="P927" s="531" t="s">
        <v>78</v>
      </c>
      <c r="Q927" s="531" t="s">
        <v>78</v>
      </c>
      <c r="R927" s="531" t="s">
        <v>78</v>
      </c>
      <c r="S927" s="531" t="s">
        <v>78</v>
      </c>
    </row>
    <row r="928" spans="1:19" x14ac:dyDescent="0.35">
      <c r="A928" t="s">
        <v>481</v>
      </c>
      <c r="B928">
        <v>1142000</v>
      </c>
      <c r="C928">
        <v>21960</v>
      </c>
      <c r="D928" t="s">
        <v>78</v>
      </c>
      <c r="E928" t="s">
        <v>78</v>
      </c>
      <c r="F928" t="s">
        <v>78</v>
      </c>
      <c r="G928" t="s">
        <v>78</v>
      </c>
      <c r="H928" t="s">
        <v>78</v>
      </c>
      <c r="I928" t="s">
        <v>78</v>
      </c>
      <c r="J928" t="s">
        <v>14</v>
      </c>
      <c r="K928" t="s">
        <v>78</v>
      </c>
      <c r="L928" t="s">
        <v>78</v>
      </c>
      <c r="M928" t="s">
        <v>78</v>
      </c>
      <c r="N928" t="s">
        <v>78</v>
      </c>
      <c r="O928" t="s">
        <v>78</v>
      </c>
      <c r="P928" t="s">
        <v>78</v>
      </c>
      <c r="Q928" t="s">
        <v>78</v>
      </c>
      <c r="R928" t="s">
        <v>78</v>
      </c>
      <c r="S928" t="s">
        <v>78</v>
      </c>
    </row>
    <row r="929" spans="1:19" x14ac:dyDescent="0.35">
      <c r="A929" s="530" t="s">
        <v>480</v>
      </c>
      <c r="B929" s="530">
        <v>400320</v>
      </c>
      <c r="C929" s="530">
        <v>17000</v>
      </c>
      <c r="D929" s="530" t="s">
        <v>78</v>
      </c>
      <c r="E929" s="530" t="s">
        <v>413</v>
      </c>
      <c r="F929" s="530" t="s">
        <v>83</v>
      </c>
      <c r="G929" s="530" t="s">
        <v>282</v>
      </c>
      <c r="H929" s="530" t="s">
        <v>78</v>
      </c>
      <c r="I929" s="530" t="s">
        <v>78</v>
      </c>
      <c r="J929" s="530" t="s">
        <v>14</v>
      </c>
      <c r="K929" s="530" t="s">
        <v>78</v>
      </c>
      <c r="L929" s="530" t="s">
        <v>78</v>
      </c>
      <c r="M929" s="530" t="s">
        <v>78</v>
      </c>
      <c r="N929" s="530" t="s">
        <v>78</v>
      </c>
      <c r="O929" s="530"/>
      <c r="P929" s="530" t="s">
        <v>78</v>
      </c>
      <c r="Q929" s="530" t="s">
        <v>78</v>
      </c>
      <c r="R929" s="530" t="s">
        <v>78</v>
      </c>
      <c r="S929" s="530" t="s">
        <v>78</v>
      </c>
    </row>
    <row r="930" spans="1:19" x14ac:dyDescent="0.35">
      <c r="A930" s="531" t="s">
        <v>480</v>
      </c>
      <c r="B930" s="531">
        <v>106760</v>
      </c>
      <c r="C930" s="531">
        <v>17000</v>
      </c>
      <c r="D930" s="531" t="s">
        <v>78</v>
      </c>
      <c r="E930" s="531" t="s">
        <v>413</v>
      </c>
      <c r="F930" s="531" t="s">
        <v>83</v>
      </c>
      <c r="G930" s="531" t="s">
        <v>308</v>
      </c>
      <c r="H930" s="531" t="s">
        <v>78</v>
      </c>
      <c r="I930" s="531" t="s">
        <v>78</v>
      </c>
      <c r="J930" s="531" t="s">
        <v>14</v>
      </c>
      <c r="K930" s="531" t="s">
        <v>78</v>
      </c>
      <c r="L930" s="531" t="s">
        <v>78</v>
      </c>
      <c r="M930" s="531" t="s">
        <v>78</v>
      </c>
      <c r="N930" s="531" t="s">
        <v>78</v>
      </c>
      <c r="O930" s="531"/>
      <c r="P930" s="531" t="s">
        <v>78</v>
      </c>
      <c r="Q930" s="531" t="s">
        <v>78</v>
      </c>
      <c r="R930" s="531" t="s">
        <v>78</v>
      </c>
      <c r="S930" s="531" t="s">
        <v>78</v>
      </c>
    </row>
    <row r="931" spans="1:19" x14ac:dyDescent="0.35">
      <c r="A931" t="s">
        <v>480</v>
      </c>
      <c r="B931">
        <v>1216480</v>
      </c>
      <c r="C931">
        <v>17000</v>
      </c>
      <c r="D931" t="s">
        <v>78</v>
      </c>
      <c r="E931" t="s">
        <v>78</v>
      </c>
      <c r="F931" t="s">
        <v>13</v>
      </c>
      <c r="G931" t="s">
        <v>78</v>
      </c>
      <c r="H931" t="s">
        <v>78</v>
      </c>
      <c r="I931" t="s">
        <v>78</v>
      </c>
      <c r="J931" t="s">
        <v>14</v>
      </c>
      <c r="K931" t="s">
        <v>78</v>
      </c>
      <c r="L931" t="s">
        <v>78</v>
      </c>
      <c r="M931" t="s">
        <v>78</v>
      </c>
      <c r="N931" t="s">
        <v>78</v>
      </c>
      <c r="O931" t="s">
        <v>78</v>
      </c>
      <c r="P931" t="s">
        <v>78</v>
      </c>
      <c r="Q931" t="s">
        <v>78</v>
      </c>
      <c r="R931" t="s">
        <v>78</v>
      </c>
      <c r="S931" t="s">
        <v>78</v>
      </c>
    </row>
    <row r="932" spans="1:19" x14ac:dyDescent="0.35">
      <c r="A932" s="531" t="s">
        <v>479</v>
      </c>
      <c r="B932" s="531">
        <v>508080</v>
      </c>
      <c r="C932" s="531">
        <v>17000</v>
      </c>
      <c r="D932" s="531" t="s">
        <v>78</v>
      </c>
      <c r="E932" s="531" t="s">
        <v>413</v>
      </c>
      <c r="F932" s="531" t="s">
        <v>11</v>
      </c>
      <c r="G932" s="531" t="s">
        <v>304</v>
      </c>
      <c r="H932" s="531" t="s">
        <v>78</v>
      </c>
      <c r="I932" s="531" t="s">
        <v>78</v>
      </c>
      <c r="J932" s="531" t="s">
        <v>14</v>
      </c>
      <c r="K932" s="531" t="s">
        <v>78</v>
      </c>
      <c r="L932" s="531" t="s">
        <v>78</v>
      </c>
      <c r="M932" s="531" t="s">
        <v>78</v>
      </c>
      <c r="N932" s="531" t="s">
        <v>78</v>
      </c>
      <c r="O932" s="531"/>
      <c r="P932" s="531" t="s">
        <v>78</v>
      </c>
      <c r="Q932" s="531" t="s">
        <v>78</v>
      </c>
      <c r="R932" s="531" t="s">
        <v>78</v>
      </c>
      <c r="S932" s="531" t="s">
        <v>78</v>
      </c>
    </row>
    <row r="933" spans="1:19" x14ac:dyDescent="0.35">
      <c r="A933" t="s">
        <v>479</v>
      </c>
      <c r="B933">
        <v>1551320</v>
      </c>
      <c r="C933">
        <v>17000</v>
      </c>
      <c r="D933" t="s">
        <v>78</v>
      </c>
      <c r="E933" t="s">
        <v>78</v>
      </c>
      <c r="F933" t="s">
        <v>78</v>
      </c>
      <c r="G933" t="s">
        <v>78</v>
      </c>
      <c r="H933" t="s">
        <v>78</v>
      </c>
      <c r="I933" t="s">
        <v>78</v>
      </c>
      <c r="J933" t="s">
        <v>14</v>
      </c>
      <c r="K933" t="s">
        <v>78</v>
      </c>
      <c r="L933" t="s">
        <v>78</v>
      </c>
      <c r="M933" t="s">
        <v>78</v>
      </c>
      <c r="N933" t="s">
        <v>78</v>
      </c>
      <c r="O933" t="s">
        <v>78</v>
      </c>
      <c r="P933" t="s">
        <v>78</v>
      </c>
      <c r="Q933" t="s">
        <v>78</v>
      </c>
      <c r="R933" t="s">
        <v>78</v>
      </c>
      <c r="S933" t="s">
        <v>78</v>
      </c>
    </row>
    <row r="934" spans="1:19" x14ac:dyDescent="0.35">
      <c r="A934" s="530" t="s">
        <v>478</v>
      </c>
      <c r="B934" s="530">
        <v>1020880</v>
      </c>
      <c r="C934" s="530">
        <v>17000</v>
      </c>
      <c r="D934" s="530" t="s">
        <v>78</v>
      </c>
      <c r="E934" s="530" t="s">
        <v>78</v>
      </c>
      <c r="F934" s="530" t="s">
        <v>13</v>
      </c>
      <c r="G934" s="530" t="s">
        <v>78</v>
      </c>
      <c r="H934" s="530" t="s">
        <v>78</v>
      </c>
      <c r="I934" s="530" t="s">
        <v>78</v>
      </c>
      <c r="J934" s="530" t="s">
        <v>14</v>
      </c>
      <c r="K934" s="530" t="s">
        <v>78</v>
      </c>
      <c r="L934" s="530" t="s">
        <v>78</v>
      </c>
      <c r="M934" s="530" t="s">
        <v>78</v>
      </c>
      <c r="N934" s="530" t="s">
        <v>78</v>
      </c>
      <c r="O934" s="530"/>
      <c r="P934" s="530" t="s">
        <v>78</v>
      </c>
      <c r="Q934" s="530" t="s">
        <v>78</v>
      </c>
      <c r="R934" s="530" t="s">
        <v>78</v>
      </c>
      <c r="S934" s="530" t="s">
        <v>78</v>
      </c>
    </row>
    <row r="935" spans="1:19" x14ac:dyDescent="0.35">
      <c r="A935" t="s">
        <v>478</v>
      </c>
      <c r="B935">
        <v>326520</v>
      </c>
      <c r="C935">
        <v>17000</v>
      </c>
      <c r="D935" t="s">
        <v>78</v>
      </c>
      <c r="E935" t="s">
        <v>78</v>
      </c>
      <c r="F935" t="s">
        <v>78</v>
      </c>
      <c r="G935" t="s">
        <v>78</v>
      </c>
      <c r="H935" t="s">
        <v>78</v>
      </c>
      <c r="I935" t="s">
        <v>78</v>
      </c>
      <c r="J935" t="s">
        <v>14</v>
      </c>
      <c r="K935" t="s">
        <v>78</v>
      </c>
      <c r="L935" t="s">
        <v>78</v>
      </c>
      <c r="M935" t="s">
        <v>78</v>
      </c>
      <c r="N935" t="s">
        <v>78</v>
      </c>
      <c r="O935" t="s">
        <v>78</v>
      </c>
      <c r="P935" t="s">
        <v>78</v>
      </c>
      <c r="Q935" t="s">
        <v>78</v>
      </c>
      <c r="R935" t="s">
        <v>78</v>
      </c>
      <c r="S935" t="s">
        <v>78</v>
      </c>
    </row>
    <row r="936" spans="1:19" x14ac:dyDescent="0.35">
      <c r="A936" t="s">
        <v>626</v>
      </c>
      <c r="B936">
        <v>1583480</v>
      </c>
      <c r="C936">
        <v>17000</v>
      </c>
      <c r="D936" t="s">
        <v>78</v>
      </c>
      <c r="E936" t="s">
        <v>413</v>
      </c>
      <c r="F936" t="s">
        <v>11</v>
      </c>
      <c r="G936" t="s">
        <v>304</v>
      </c>
      <c r="H936" t="s">
        <v>78</v>
      </c>
      <c r="I936" t="s">
        <v>78</v>
      </c>
      <c r="J936" t="s">
        <v>14</v>
      </c>
      <c r="K936" t="s">
        <v>78</v>
      </c>
      <c r="L936" t="s">
        <v>78</v>
      </c>
      <c r="M936" t="s">
        <v>78</v>
      </c>
      <c r="N936" t="s">
        <v>78</v>
      </c>
      <c r="O936" t="s">
        <v>78</v>
      </c>
      <c r="P936" t="s">
        <v>78</v>
      </c>
      <c r="Q936" t="s">
        <v>78</v>
      </c>
      <c r="R936" t="s">
        <v>78</v>
      </c>
      <c r="S936" t="s">
        <v>78</v>
      </c>
    </row>
    <row r="937" spans="1:19" x14ac:dyDescent="0.35">
      <c r="A937" t="s">
        <v>625</v>
      </c>
      <c r="B937">
        <v>281520</v>
      </c>
      <c r="C937">
        <v>17000</v>
      </c>
      <c r="D937" t="s">
        <v>78</v>
      </c>
      <c r="E937" t="s">
        <v>78</v>
      </c>
      <c r="F937" t="s">
        <v>13</v>
      </c>
      <c r="G937" t="s">
        <v>78</v>
      </c>
      <c r="H937" t="s">
        <v>78</v>
      </c>
      <c r="I937" t="s">
        <v>78</v>
      </c>
      <c r="J937" t="s">
        <v>14</v>
      </c>
      <c r="K937" t="s">
        <v>78</v>
      </c>
      <c r="L937" t="s">
        <v>78</v>
      </c>
      <c r="M937" t="s">
        <v>78</v>
      </c>
      <c r="N937" t="s">
        <v>78</v>
      </c>
      <c r="O937" t="s">
        <v>78</v>
      </c>
      <c r="P937" t="s">
        <v>78</v>
      </c>
      <c r="Q937" t="s">
        <v>78</v>
      </c>
      <c r="R937" t="s">
        <v>78</v>
      </c>
      <c r="S937" t="s">
        <v>78</v>
      </c>
    </row>
    <row r="938" spans="1:19" x14ac:dyDescent="0.35">
      <c r="A938" s="531" t="s">
        <v>128</v>
      </c>
      <c r="B938" s="531">
        <v>722200</v>
      </c>
      <c r="C938" s="531">
        <v>17000</v>
      </c>
      <c r="D938" s="531" t="s">
        <v>78</v>
      </c>
      <c r="E938" s="531" t="s">
        <v>343</v>
      </c>
      <c r="F938" s="531" t="s">
        <v>11</v>
      </c>
      <c r="G938" s="531" t="s">
        <v>296</v>
      </c>
      <c r="H938" s="531" t="s">
        <v>78</v>
      </c>
      <c r="I938" s="531" t="s">
        <v>78</v>
      </c>
      <c r="J938" s="531" t="s">
        <v>129</v>
      </c>
      <c r="K938" s="531" t="s">
        <v>78</v>
      </c>
      <c r="L938" s="531" t="s">
        <v>78</v>
      </c>
      <c r="M938" s="531" t="s">
        <v>78</v>
      </c>
      <c r="N938" s="531" t="s">
        <v>78</v>
      </c>
      <c r="O938" s="531"/>
      <c r="P938" s="531" t="s">
        <v>78</v>
      </c>
      <c r="Q938" s="531" t="s">
        <v>78</v>
      </c>
      <c r="R938" s="531" t="s">
        <v>78</v>
      </c>
      <c r="S938" s="531" t="s">
        <v>78</v>
      </c>
    </row>
    <row r="939" spans="1:19" x14ac:dyDescent="0.35">
      <c r="A939" s="531" t="s">
        <v>128</v>
      </c>
      <c r="B939" s="531">
        <v>1593040</v>
      </c>
      <c r="C939" s="531">
        <v>17000</v>
      </c>
      <c r="D939" s="531" t="s">
        <v>78</v>
      </c>
      <c r="E939" s="531" t="s">
        <v>413</v>
      </c>
      <c r="F939" s="531" t="s">
        <v>11</v>
      </c>
      <c r="G939" s="531" t="s">
        <v>282</v>
      </c>
      <c r="H939" s="531" t="s">
        <v>78</v>
      </c>
      <c r="I939" s="531" t="s">
        <v>78</v>
      </c>
      <c r="J939" s="531" t="s">
        <v>129</v>
      </c>
      <c r="K939" s="531" t="s">
        <v>78</v>
      </c>
      <c r="L939" s="531" t="s">
        <v>78</v>
      </c>
      <c r="M939" s="531" t="s">
        <v>78</v>
      </c>
      <c r="N939" s="531" t="s">
        <v>78</v>
      </c>
      <c r="O939" s="531"/>
      <c r="P939" s="531" t="s">
        <v>78</v>
      </c>
      <c r="Q939" s="531" t="s">
        <v>78</v>
      </c>
      <c r="R939" s="531" t="s">
        <v>78</v>
      </c>
      <c r="S939" s="531" t="s">
        <v>78</v>
      </c>
    </row>
    <row r="940" spans="1:19" x14ac:dyDescent="0.35">
      <c r="A940" s="530" t="s">
        <v>128</v>
      </c>
      <c r="B940" s="530">
        <v>606040</v>
      </c>
      <c r="C940" s="530">
        <v>17000</v>
      </c>
      <c r="D940" s="530" t="s">
        <v>78</v>
      </c>
      <c r="E940" s="530" t="s">
        <v>343</v>
      </c>
      <c r="F940" s="530" t="s">
        <v>11</v>
      </c>
      <c r="G940" s="530" t="s">
        <v>296</v>
      </c>
      <c r="H940" s="530" t="s">
        <v>78</v>
      </c>
      <c r="I940" s="530" t="s">
        <v>78</v>
      </c>
      <c r="J940" s="530" t="s">
        <v>129</v>
      </c>
      <c r="K940" s="530" t="s">
        <v>78</v>
      </c>
      <c r="L940" s="530" t="s">
        <v>78</v>
      </c>
      <c r="M940" s="530" t="s">
        <v>78</v>
      </c>
      <c r="N940" s="530" t="s">
        <v>78</v>
      </c>
      <c r="O940" s="530"/>
      <c r="P940" s="530" t="s">
        <v>78</v>
      </c>
      <c r="Q940" s="530" t="s">
        <v>78</v>
      </c>
      <c r="R940" s="530" t="s">
        <v>78</v>
      </c>
      <c r="S940" s="530" t="s">
        <v>78</v>
      </c>
    </row>
    <row r="941" spans="1:19" x14ac:dyDescent="0.35">
      <c r="A941" t="s">
        <v>128</v>
      </c>
      <c r="B941">
        <v>119200</v>
      </c>
      <c r="C941">
        <v>17000</v>
      </c>
      <c r="D941" t="s">
        <v>78</v>
      </c>
      <c r="E941" t="s">
        <v>413</v>
      </c>
      <c r="F941" t="s">
        <v>83</v>
      </c>
      <c r="G941" t="s">
        <v>306</v>
      </c>
      <c r="H941" t="s">
        <v>78</v>
      </c>
      <c r="I941" t="s">
        <v>78</v>
      </c>
      <c r="J941" t="s">
        <v>129</v>
      </c>
      <c r="K941" t="s">
        <v>78</v>
      </c>
      <c r="L941" t="s">
        <v>78</v>
      </c>
      <c r="M941" t="s">
        <v>78</v>
      </c>
      <c r="N941" t="s">
        <v>78</v>
      </c>
      <c r="P941" t="s">
        <v>78</v>
      </c>
      <c r="Q941" t="s">
        <v>78</v>
      </c>
      <c r="R941" t="s">
        <v>78</v>
      </c>
      <c r="S941" t="s">
        <v>78</v>
      </c>
    </row>
    <row r="942" spans="1:19" x14ac:dyDescent="0.35">
      <c r="A942" t="s">
        <v>128</v>
      </c>
      <c r="B942">
        <v>846280</v>
      </c>
      <c r="C942">
        <v>17000</v>
      </c>
      <c r="D942" t="s">
        <v>78</v>
      </c>
      <c r="E942" t="s">
        <v>78</v>
      </c>
      <c r="F942" t="s">
        <v>13</v>
      </c>
      <c r="G942" t="s">
        <v>78</v>
      </c>
      <c r="H942" t="s">
        <v>78</v>
      </c>
      <c r="I942" t="s">
        <v>78</v>
      </c>
      <c r="J942" t="s">
        <v>129</v>
      </c>
      <c r="K942" t="s">
        <v>78</v>
      </c>
      <c r="L942" t="s">
        <v>78</v>
      </c>
      <c r="M942" t="s">
        <v>78</v>
      </c>
      <c r="N942" t="s">
        <v>78</v>
      </c>
      <c r="O942" t="s">
        <v>78</v>
      </c>
      <c r="P942" t="s">
        <v>78</v>
      </c>
      <c r="Q942" t="s">
        <v>78</v>
      </c>
      <c r="R942" t="s">
        <v>78</v>
      </c>
      <c r="S942" t="s">
        <v>78</v>
      </c>
    </row>
    <row r="943" spans="1:19" x14ac:dyDescent="0.35">
      <c r="A943" s="530" t="s">
        <v>446</v>
      </c>
      <c r="B943" s="530">
        <v>131120</v>
      </c>
      <c r="C943" s="530">
        <v>17000</v>
      </c>
      <c r="D943" s="530" t="s">
        <v>78</v>
      </c>
      <c r="E943" s="530" t="s">
        <v>78</v>
      </c>
      <c r="F943" s="530" t="s">
        <v>105</v>
      </c>
      <c r="G943" s="530" t="s">
        <v>78</v>
      </c>
      <c r="H943" s="530" t="s">
        <v>78</v>
      </c>
      <c r="I943" s="530" t="s">
        <v>78</v>
      </c>
      <c r="J943" s="530" t="s">
        <v>129</v>
      </c>
      <c r="K943" s="530" t="s">
        <v>78</v>
      </c>
      <c r="L943" s="530" t="s">
        <v>78</v>
      </c>
      <c r="M943" s="530" t="s">
        <v>78</v>
      </c>
      <c r="N943" s="530" t="s">
        <v>78</v>
      </c>
      <c r="O943" s="530"/>
      <c r="P943" s="530" t="s">
        <v>78</v>
      </c>
      <c r="Q943" s="530" t="s">
        <v>78</v>
      </c>
      <c r="R943" s="530" t="s">
        <v>78</v>
      </c>
      <c r="S943" s="530" t="s">
        <v>78</v>
      </c>
    </row>
    <row r="944" spans="1:19" x14ac:dyDescent="0.35">
      <c r="A944" t="s">
        <v>446</v>
      </c>
      <c r="B944">
        <v>218040</v>
      </c>
      <c r="C944">
        <v>17000</v>
      </c>
      <c r="D944" t="s">
        <v>78</v>
      </c>
      <c r="E944" t="s">
        <v>343</v>
      </c>
      <c r="F944" t="s">
        <v>11</v>
      </c>
      <c r="G944" t="s">
        <v>302</v>
      </c>
      <c r="H944" t="s">
        <v>78</v>
      </c>
      <c r="I944" t="s">
        <v>78</v>
      </c>
      <c r="J944" t="s">
        <v>129</v>
      </c>
      <c r="K944" t="s">
        <v>78</v>
      </c>
      <c r="L944" t="s">
        <v>78</v>
      </c>
      <c r="M944" t="s">
        <v>78</v>
      </c>
      <c r="N944" t="s">
        <v>78</v>
      </c>
      <c r="P944" t="s">
        <v>78</v>
      </c>
      <c r="Q944" t="s">
        <v>78</v>
      </c>
      <c r="R944" t="s">
        <v>78</v>
      </c>
      <c r="S944" t="s">
        <v>78</v>
      </c>
    </row>
    <row r="945" spans="1:19" x14ac:dyDescent="0.35">
      <c r="A945" t="s">
        <v>446</v>
      </c>
      <c r="B945">
        <v>170120</v>
      </c>
      <c r="C945">
        <v>17000</v>
      </c>
      <c r="D945" t="s">
        <v>78</v>
      </c>
      <c r="E945" t="s">
        <v>78</v>
      </c>
      <c r="F945" t="s">
        <v>13</v>
      </c>
      <c r="G945" t="s">
        <v>78</v>
      </c>
      <c r="H945" t="s">
        <v>78</v>
      </c>
      <c r="I945" t="s">
        <v>78</v>
      </c>
      <c r="J945" t="s">
        <v>129</v>
      </c>
      <c r="K945" t="s">
        <v>78</v>
      </c>
      <c r="L945" t="s">
        <v>78</v>
      </c>
      <c r="M945" t="s">
        <v>78</v>
      </c>
      <c r="N945" t="s">
        <v>78</v>
      </c>
      <c r="O945" t="s">
        <v>78</v>
      </c>
      <c r="P945" t="s">
        <v>78</v>
      </c>
      <c r="Q945" t="s">
        <v>78</v>
      </c>
      <c r="R945" t="s">
        <v>78</v>
      </c>
      <c r="S945" t="s">
        <v>78</v>
      </c>
    </row>
    <row r="946" spans="1:19" x14ac:dyDescent="0.35">
      <c r="A946" s="531" t="s">
        <v>508</v>
      </c>
      <c r="B946" s="531">
        <v>682560</v>
      </c>
      <c r="C946" s="531">
        <v>17000</v>
      </c>
      <c r="D946" s="531" t="s">
        <v>78</v>
      </c>
      <c r="E946" s="531" t="s">
        <v>78</v>
      </c>
      <c r="F946" s="531" t="s">
        <v>13</v>
      </c>
      <c r="G946" s="531" t="s">
        <v>78</v>
      </c>
      <c r="H946" s="531" t="s">
        <v>78</v>
      </c>
      <c r="I946" s="531" t="s">
        <v>78</v>
      </c>
      <c r="J946" s="531" t="s">
        <v>129</v>
      </c>
      <c r="K946" s="531" t="s">
        <v>78</v>
      </c>
      <c r="L946" s="531" t="s">
        <v>78</v>
      </c>
      <c r="M946" s="531" t="s">
        <v>78</v>
      </c>
      <c r="N946" s="531" t="s">
        <v>78</v>
      </c>
      <c r="O946" s="531"/>
      <c r="P946" s="531" t="s">
        <v>78</v>
      </c>
      <c r="Q946" s="531" t="s">
        <v>78</v>
      </c>
      <c r="R946" s="531" t="s">
        <v>78</v>
      </c>
      <c r="S946" s="531" t="s">
        <v>78</v>
      </c>
    </row>
    <row r="947" spans="1:19" x14ac:dyDescent="0.35">
      <c r="A947" t="s">
        <v>508</v>
      </c>
      <c r="B947">
        <v>728080</v>
      </c>
      <c r="C947">
        <v>17000</v>
      </c>
      <c r="D947" t="s">
        <v>78</v>
      </c>
      <c r="E947" t="s">
        <v>78</v>
      </c>
      <c r="F947" t="s">
        <v>79</v>
      </c>
      <c r="G947" t="s">
        <v>78</v>
      </c>
      <c r="H947" t="s">
        <v>78</v>
      </c>
      <c r="I947" t="s">
        <v>78</v>
      </c>
      <c r="J947" t="s">
        <v>129</v>
      </c>
      <c r="K947" t="s">
        <v>78</v>
      </c>
      <c r="L947" t="s">
        <v>78</v>
      </c>
      <c r="M947" t="s">
        <v>78</v>
      </c>
      <c r="N947" t="s">
        <v>78</v>
      </c>
      <c r="P947" t="s">
        <v>78</v>
      </c>
      <c r="Q947" t="s">
        <v>78</v>
      </c>
      <c r="R947" t="s">
        <v>78</v>
      </c>
      <c r="S947" t="s">
        <v>78</v>
      </c>
    </row>
    <row r="948" spans="1:19" x14ac:dyDescent="0.35">
      <c r="A948" t="s">
        <v>616</v>
      </c>
      <c r="B948">
        <v>804880</v>
      </c>
      <c r="C948">
        <v>17000</v>
      </c>
      <c r="D948" t="s">
        <v>78</v>
      </c>
      <c r="E948" t="s">
        <v>343</v>
      </c>
      <c r="F948" t="s">
        <v>11</v>
      </c>
      <c r="G948" t="s">
        <v>282</v>
      </c>
      <c r="H948" t="s">
        <v>78</v>
      </c>
      <c r="I948" t="s">
        <v>78</v>
      </c>
      <c r="J948" t="s">
        <v>129</v>
      </c>
      <c r="K948" t="s">
        <v>78</v>
      </c>
      <c r="L948" t="s">
        <v>78</v>
      </c>
      <c r="M948" t="s">
        <v>78</v>
      </c>
      <c r="N948" t="s">
        <v>78</v>
      </c>
      <c r="P948" t="s">
        <v>78</v>
      </c>
      <c r="Q948" t="s">
        <v>78</v>
      </c>
      <c r="R948" t="s">
        <v>78</v>
      </c>
      <c r="S948" t="s">
        <v>78</v>
      </c>
    </row>
    <row r="949" spans="1:19" x14ac:dyDescent="0.35">
      <c r="A949" t="s">
        <v>617</v>
      </c>
      <c r="B949">
        <v>868320</v>
      </c>
      <c r="C949">
        <v>17000</v>
      </c>
      <c r="D949" t="s">
        <v>78</v>
      </c>
      <c r="E949" t="s">
        <v>343</v>
      </c>
      <c r="F949" t="s">
        <v>11</v>
      </c>
      <c r="G949" t="s">
        <v>304</v>
      </c>
      <c r="H949" t="s">
        <v>78</v>
      </c>
      <c r="I949" t="s">
        <v>78</v>
      </c>
      <c r="J949" t="s">
        <v>129</v>
      </c>
      <c r="K949" t="s">
        <v>78</v>
      </c>
      <c r="L949" t="s">
        <v>78</v>
      </c>
      <c r="M949" t="s">
        <v>78</v>
      </c>
      <c r="N949" t="s">
        <v>78</v>
      </c>
      <c r="P949" t="s">
        <v>78</v>
      </c>
      <c r="Q949" t="s">
        <v>78</v>
      </c>
      <c r="R949" t="s">
        <v>78</v>
      </c>
      <c r="S949" t="s">
        <v>78</v>
      </c>
    </row>
    <row r="950" spans="1:19" x14ac:dyDescent="0.35">
      <c r="A950" t="s">
        <v>618</v>
      </c>
      <c r="B950">
        <v>1029280</v>
      </c>
      <c r="C950">
        <v>17000</v>
      </c>
      <c r="D950" t="s">
        <v>78</v>
      </c>
      <c r="E950" t="s">
        <v>78</v>
      </c>
      <c r="F950" t="s">
        <v>79</v>
      </c>
      <c r="G950" t="s">
        <v>78</v>
      </c>
      <c r="H950" t="s">
        <v>78</v>
      </c>
      <c r="I950" t="s">
        <v>78</v>
      </c>
      <c r="J950" t="s">
        <v>129</v>
      </c>
      <c r="K950" t="s">
        <v>78</v>
      </c>
      <c r="L950" t="s">
        <v>78</v>
      </c>
      <c r="M950" t="s">
        <v>78</v>
      </c>
      <c r="N950" t="s">
        <v>78</v>
      </c>
      <c r="P950" t="s">
        <v>78</v>
      </c>
      <c r="Q950" t="s">
        <v>78</v>
      </c>
      <c r="R950" t="s">
        <v>78</v>
      </c>
      <c r="S950" t="s">
        <v>78</v>
      </c>
    </row>
    <row r="951" spans="1:19" x14ac:dyDescent="0.35">
      <c r="A951" t="s">
        <v>619</v>
      </c>
      <c r="B951">
        <v>1445680</v>
      </c>
      <c r="C951">
        <v>17000</v>
      </c>
      <c r="D951" t="s">
        <v>78</v>
      </c>
      <c r="E951" t="s">
        <v>343</v>
      </c>
      <c r="F951" t="s">
        <v>11</v>
      </c>
      <c r="G951" t="s">
        <v>283</v>
      </c>
      <c r="H951" t="s">
        <v>78</v>
      </c>
      <c r="I951" t="s">
        <v>78</v>
      </c>
      <c r="J951" t="s">
        <v>129</v>
      </c>
      <c r="K951" t="s">
        <v>78</v>
      </c>
      <c r="L951" t="s">
        <v>78</v>
      </c>
      <c r="M951" t="s">
        <v>78</v>
      </c>
      <c r="N951" t="s">
        <v>78</v>
      </c>
      <c r="P951" t="s">
        <v>78</v>
      </c>
      <c r="Q951" t="s">
        <v>78</v>
      </c>
      <c r="R951" t="s">
        <v>78</v>
      </c>
      <c r="S951" t="s">
        <v>78</v>
      </c>
    </row>
    <row r="952" spans="1:19" x14ac:dyDescent="0.35">
      <c r="A952" t="s">
        <v>620</v>
      </c>
      <c r="B952">
        <v>1480920</v>
      </c>
      <c r="C952">
        <v>17000</v>
      </c>
      <c r="D952" t="s">
        <v>78</v>
      </c>
      <c r="E952" t="s">
        <v>343</v>
      </c>
      <c r="F952" t="s">
        <v>11</v>
      </c>
      <c r="G952" t="s">
        <v>304</v>
      </c>
      <c r="H952" t="s">
        <v>78</v>
      </c>
      <c r="I952" t="s">
        <v>78</v>
      </c>
      <c r="J952" t="s">
        <v>129</v>
      </c>
      <c r="K952" t="s">
        <v>78</v>
      </c>
      <c r="L952" t="s">
        <v>78</v>
      </c>
      <c r="M952" t="s">
        <v>78</v>
      </c>
      <c r="N952" t="s">
        <v>78</v>
      </c>
      <c r="P952" t="s">
        <v>78</v>
      </c>
      <c r="Q952" t="s">
        <v>78</v>
      </c>
      <c r="R952" t="s">
        <v>78</v>
      </c>
      <c r="S952" t="s">
        <v>78</v>
      </c>
    </row>
    <row r="953" spans="1:19" x14ac:dyDescent="0.35">
      <c r="A953" t="s">
        <v>621</v>
      </c>
      <c r="B953">
        <v>1521960</v>
      </c>
      <c r="C953">
        <v>17000</v>
      </c>
      <c r="D953" t="s">
        <v>78</v>
      </c>
      <c r="E953" t="s">
        <v>78</v>
      </c>
      <c r="F953" t="s">
        <v>79</v>
      </c>
      <c r="G953" t="s">
        <v>78</v>
      </c>
      <c r="H953" t="s">
        <v>78</v>
      </c>
      <c r="I953" t="s">
        <v>78</v>
      </c>
      <c r="J953" t="s">
        <v>129</v>
      </c>
      <c r="K953" t="s">
        <v>78</v>
      </c>
      <c r="L953" t="s">
        <v>78</v>
      </c>
      <c r="M953" t="s">
        <v>78</v>
      </c>
      <c r="N953" t="s">
        <v>78</v>
      </c>
      <c r="P953" t="s">
        <v>78</v>
      </c>
      <c r="Q953" t="s">
        <v>78</v>
      </c>
      <c r="R953" t="s">
        <v>78</v>
      </c>
      <c r="S953" t="s">
        <v>78</v>
      </c>
    </row>
    <row r="954" spans="1:19" x14ac:dyDescent="0.35">
      <c r="A954" t="s">
        <v>622</v>
      </c>
      <c r="B954">
        <v>1995040</v>
      </c>
      <c r="C954">
        <v>17000</v>
      </c>
      <c r="D954" t="s">
        <v>78</v>
      </c>
      <c r="E954" t="s">
        <v>343</v>
      </c>
      <c r="F954" t="s">
        <v>280</v>
      </c>
      <c r="G954" t="s">
        <v>308</v>
      </c>
      <c r="H954" t="s">
        <v>78</v>
      </c>
      <c r="I954" t="s">
        <v>78</v>
      </c>
      <c r="J954" t="s">
        <v>129</v>
      </c>
      <c r="K954" t="s">
        <v>78</v>
      </c>
      <c r="L954" t="s">
        <v>78</v>
      </c>
      <c r="M954" t="s">
        <v>78</v>
      </c>
      <c r="N954" t="s">
        <v>78</v>
      </c>
      <c r="P954" t="s">
        <v>78</v>
      </c>
      <c r="Q954" t="s">
        <v>78</v>
      </c>
      <c r="R954" t="s">
        <v>78</v>
      </c>
      <c r="S954" t="s">
        <v>78</v>
      </c>
    </row>
    <row r="955" spans="1:19" x14ac:dyDescent="0.35">
      <c r="A955" s="530" t="s">
        <v>130</v>
      </c>
      <c r="B955" s="530">
        <v>960240</v>
      </c>
      <c r="C955" s="530">
        <v>17000</v>
      </c>
      <c r="D955" s="530" t="s">
        <v>78</v>
      </c>
      <c r="E955" s="530" t="s">
        <v>343</v>
      </c>
      <c r="F955" s="530" t="s">
        <v>11</v>
      </c>
      <c r="G955" s="530" t="s">
        <v>308</v>
      </c>
      <c r="H955" s="530" t="s">
        <v>78</v>
      </c>
      <c r="I955" s="530" t="s">
        <v>78</v>
      </c>
      <c r="J955" s="530" t="s">
        <v>129</v>
      </c>
      <c r="K955" s="530" t="s">
        <v>78</v>
      </c>
      <c r="L955" s="530" t="s">
        <v>78</v>
      </c>
      <c r="M955" s="530" t="s">
        <v>78</v>
      </c>
      <c r="N955" s="530" t="s">
        <v>78</v>
      </c>
      <c r="O955" s="530"/>
      <c r="P955" s="530" t="s">
        <v>78</v>
      </c>
      <c r="Q955" s="530" t="s">
        <v>78</v>
      </c>
      <c r="R955" s="530" t="s">
        <v>78</v>
      </c>
      <c r="S955" s="530" t="s">
        <v>78</v>
      </c>
    </row>
    <row r="956" spans="1:19" x14ac:dyDescent="0.35">
      <c r="A956" s="531" t="s">
        <v>130</v>
      </c>
      <c r="B956" s="531">
        <v>1447800</v>
      </c>
      <c r="C956" s="531">
        <v>17000</v>
      </c>
      <c r="D956" s="531" t="s">
        <v>78</v>
      </c>
      <c r="E956" s="531" t="s">
        <v>343</v>
      </c>
      <c r="F956" s="531" t="s">
        <v>11</v>
      </c>
      <c r="G956" s="531" t="s">
        <v>304</v>
      </c>
      <c r="H956" s="531" t="s">
        <v>78</v>
      </c>
      <c r="I956" s="531" t="s">
        <v>78</v>
      </c>
      <c r="J956" s="531" t="s">
        <v>129</v>
      </c>
      <c r="K956" s="531" t="s">
        <v>78</v>
      </c>
      <c r="L956" s="531" t="s">
        <v>78</v>
      </c>
      <c r="M956" s="531" t="s">
        <v>78</v>
      </c>
      <c r="N956" s="531" t="s">
        <v>78</v>
      </c>
      <c r="O956" s="531"/>
      <c r="P956" s="531" t="s">
        <v>78</v>
      </c>
      <c r="Q956" s="531" t="s">
        <v>78</v>
      </c>
      <c r="R956" s="531" t="s">
        <v>78</v>
      </c>
      <c r="S956" s="531" t="s">
        <v>78</v>
      </c>
    </row>
    <row r="957" spans="1:19" x14ac:dyDescent="0.35">
      <c r="A957" t="s">
        <v>130</v>
      </c>
      <c r="B957">
        <v>255840</v>
      </c>
      <c r="C957">
        <v>17000</v>
      </c>
      <c r="D957" t="s">
        <v>78</v>
      </c>
      <c r="E957" t="s">
        <v>413</v>
      </c>
      <c r="F957" t="s">
        <v>11</v>
      </c>
      <c r="G957" t="s">
        <v>15</v>
      </c>
      <c r="H957" t="s">
        <v>78</v>
      </c>
      <c r="I957" t="s">
        <v>78</v>
      </c>
      <c r="J957" t="s">
        <v>129</v>
      </c>
      <c r="K957" t="s">
        <v>78</v>
      </c>
      <c r="L957" t="s">
        <v>78</v>
      </c>
      <c r="M957" t="s">
        <v>78</v>
      </c>
      <c r="N957" t="s">
        <v>78</v>
      </c>
      <c r="P957" t="s">
        <v>78</v>
      </c>
      <c r="Q957" t="s">
        <v>78</v>
      </c>
      <c r="R957" t="s">
        <v>78</v>
      </c>
      <c r="S957" t="s">
        <v>78</v>
      </c>
    </row>
    <row r="958" spans="1:19" x14ac:dyDescent="0.35">
      <c r="A958" t="s">
        <v>130</v>
      </c>
      <c r="B958">
        <v>1034000</v>
      </c>
      <c r="C958">
        <v>17000</v>
      </c>
      <c r="D958" t="s">
        <v>78</v>
      </c>
      <c r="E958" t="s">
        <v>343</v>
      </c>
      <c r="F958" t="s">
        <v>11</v>
      </c>
      <c r="G958" t="s">
        <v>282</v>
      </c>
      <c r="H958" t="s">
        <v>78</v>
      </c>
      <c r="I958" t="s">
        <v>78</v>
      </c>
      <c r="J958" t="s">
        <v>129</v>
      </c>
      <c r="K958" t="s">
        <v>78</v>
      </c>
      <c r="L958" t="s">
        <v>78</v>
      </c>
      <c r="M958" t="s">
        <v>78</v>
      </c>
      <c r="N958" t="s">
        <v>78</v>
      </c>
      <c r="O958" t="s">
        <v>78</v>
      </c>
      <c r="P958" t="s">
        <v>78</v>
      </c>
      <c r="Q958" t="s">
        <v>78</v>
      </c>
      <c r="R958" t="s">
        <v>78</v>
      </c>
      <c r="S958" t="s">
        <v>78</v>
      </c>
    </row>
    <row r="959" spans="1:19" x14ac:dyDescent="0.35">
      <c r="A959" s="531" t="s">
        <v>131</v>
      </c>
      <c r="B959" s="531">
        <v>1010440</v>
      </c>
      <c r="C959" s="531">
        <v>17000</v>
      </c>
      <c r="D959" s="531" t="s">
        <v>78</v>
      </c>
      <c r="E959" s="531" t="s">
        <v>78</v>
      </c>
      <c r="F959" s="531" t="s">
        <v>13</v>
      </c>
      <c r="G959" s="531" t="s">
        <v>78</v>
      </c>
      <c r="H959" s="531" t="s">
        <v>78</v>
      </c>
      <c r="I959" s="531" t="s">
        <v>78</v>
      </c>
      <c r="J959" s="531" t="s">
        <v>129</v>
      </c>
      <c r="K959" s="531" t="s">
        <v>78</v>
      </c>
      <c r="L959" s="531" t="s">
        <v>78</v>
      </c>
      <c r="M959" s="531" t="s">
        <v>78</v>
      </c>
      <c r="N959" s="531" t="s">
        <v>78</v>
      </c>
      <c r="O959" s="531"/>
      <c r="P959" s="531" t="s">
        <v>78</v>
      </c>
      <c r="Q959" s="531" t="s">
        <v>78</v>
      </c>
      <c r="R959" s="531" t="s">
        <v>78</v>
      </c>
      <c r="S959" s="531" t="s">
        <v>78</v>
      </c>
    </row>
    <row r="960" spans="1:19" x14ac:dyDescent="0.35">
      <c r="A960" s="530" t="s">
        <v>131</v>
      </c>
      <c r="B960" s="530">
        <v>1585320</v>
      </c>
      <c r="C960" s="530">
        <v>17000</v>
      </c>
      <c r="D960" s="530" t="s">
        <v>78</v>
      </c>
      <c r="E960" s="530" t="s">
        <v>78</v>
      </c>
      <c r="F960" s="530" t="s">
        <v>13</v>
      </c>
      <c r="G960" s="530" t="s">
        <v>78</v>
      </c>
      <c r="H960" s="530" t="s">
        <v>78</v>
      </c>
      <c r="I960" s="530" t="s">
        <v>78</v>
      </c>
      <c r="J960" s="530" t="s">
        <v>129</v>
      </c>
      <c r="K960" s="530" t="s">
        <v>78</v>
      </c>
      <c r="L960" s="530" t="s">
        <v>78</v>
      </c>
      <c r="M960" s="530" t="s">
        <v>78</v>
      </c>
      <c r="N960" s="530" t="s">
        <v>78</v>
      </c>
      <c r="O960" s="530"/>
      <c r="P960" s="530" t="s">
        <v>78</v>
      </c>
      <c r="Q960" s="530" t="s">
        <v>78</v>
      </c>
      <c r="R960" s="530" t="s">
        <v>78</v>
      </c>
      <c r="S960" s="530" t="s">
        <v>78</v>
      </c>
    </row>
    <row r="961" spans="1:19" x14ac:dyDescent="0.35">
      <c r="A961" t="s">
        <v>131</v>
      </c>
      <c r="B961">
        <v>378760</v>
      </c>
      <c r="C961">
        <v>17000</v>
      </c>
      <c r="D961" t="s">
        <v>78</v>
      </c>
      <c r="E961" t="s">
        <v>413</v>
      </c>
      <c r="F961" t="s">
        <v>11</v>
      </c>
      <c r="G961" t="s">
        <v>15</v>
      </c>
      <c r="H961" t="s">
        <v>78</v>
      </c>
      <c r="I961" t="s">
        <v>78</v>
      </c>
      <c r="J961" t="s">
        <v>129</v>
      </c>
      <c r="K961" t="s">
        <v>78</v>
      </c>
      <c r="L961" t="s">
        <v>78</v>
      </c>
      <c r="M961" t="s">
        <v>78</v>
      </c>
      <c r="N961" t="s">
        <v>78</v>
      </c>
      <c r="P961" t="s">
        <v>78</v>
      </c>
      <c r="Q961" t="s">
        <v>78</v>
      </c>
      <c r="R961" t="s">
        <v>78</v>
      </c>
      <c r="S961" t="s">
        <v>78</v>
      </c>
    </row>
    <row r="962" spans="1:19" x14ac:dyDescent="0.35">
      <c r="A962" t="s">
        <v>131</v>
      </c>
      <c r="B962">
        <v>219760</v>
      </c>
      <c r="C962">
        <v>17000</v>
      </c>
      <c r="D962" t="s">
        <v>78</v>
      </c>
      <c r="E962" t="s">
        <v>343</v>
      </c>
      <c r="F962" t="s">
        <v>11</v>
      </c>
      <c r="G962" t="s">
        <v>304</v>
      </c>
      <c r="H962" t="s">
        <v>78</v>
      </c>
      <c r="I962" t="s">
        <v>78</v>
      </c>
      <c r="J962" t="s">
        <v>129</v>
      </c>
      <c r="K962" t="s">
        <v>78</v>
      </c>
      <c r="L962" t="s">
        <v>78</v>
      </c>
      <c r="M962" t="s">
        <v>78</v>
      </c>
      <c r="N962" t="s">
        <v>78</v>
      </c>
      <c r="O962" t="s">
        <v>78</v>
      </c>
      <c r="P962" t="s">
        <v>78</v>
      </c>
      <c r="Q962" t="s">
        <v>78</v>
      </c>
      <c r="R962" t="s">
        <v>78</v>
      </c>
      <c r="S962" t="s">
        <v>78</v>
      </c>
    </row>
    <row r="963" spans="1:19" x14ac:dyDescent="0.35">
      <c r="A963" s="530" t="s">
        <v>132</v>
      </c>
      <c r="B963" s="530">
        <v>1332600</v>
      </c>
      <c r="C963" s="530">
        <v>17000</v>
      </c>
      <c r="D963" s="530" t="s">
        <v>78</v>
      </c>
      <c r="E963" s="530" t="s">
        <v>78</v>
      </c>
      <c r="F963" s="530" t="s">
        <v>79</v>
      </c>
      <c r="G963" s="530" t="s">
        <v>78</v>
      </c>
      <c r="H963" s="530" t="s">
        <v>78</v>
      </c>
      <c r="I963" s="530" t="s">
        <v>78</v>
      </c>
      <c r="J963" s="530" t="s">
        <v>129</v>
      </c>
      <c r="K963" s="530" t="s">
        <v>78</v>
      </c>
      <c r="L963" s="530" t="s">
        <v>78</v>
      </c>
      <c r="M963" s="530" t="s">
        <v>78</v>
      </c>
      <c r="N963" s="530" t="s">
        <v>78</v>
      </c>
      <c r="O963" s="530"/>
      <c r="P963" s="530" t="s">
        <v>78</v>
      </c>
      <c r="Q963" s="530" t="s">
        <v>78</v>
      </c>
      <c r="R963" s="530" t="s">
        <v>78</v>
      </c>
      <c r="S963" s="530" t="s">
        <v>78</v>
      </c>
    </row>
    <row r="964" spans="1:19" x14ac:dyDescent="0.35">
      <c r="A964" s="530" t="s">
        <v>132</v>
      </c>
      <c r="B964" s="530">
        <v>1720800</v>
      </c>
      <c r="C964" s="530">
        <v>17000</v>
      </c>
      <c r="D964" s="530" t="s">
        <v>78</v>
      </c>
      <c r="E964" s="530" t="s">
        <v>343</v>
      </c>
      <c r="F964" s="530" t="s">
        <v>11</v>
      </c>
      <c r="G964" s="530" t="s">
        <v>17</v>
      </c>
      <c r="H964" s="530" t="s">
        <v>78</v>
      </c>
      <c r="I964" s="530" t="s">
        <v>78</v>
      </c>
      <c r="J964" s="530" t="s">
        <v>129</v>
      </c>
      <c r="K964" s="530" t="s">
        <v>78</v>
      </c>
      <c r="L964" s="530" t="s">
        <v>78</v>
      </c>
      <c r="M964" s="530" t="s">
        <v>78</v>
      </c>
      <c r="N964" s="530" t="s">
        <v>78</v>
      </c>
      <c r="O964" s="530"/>
      <c r="P964" s="530" t="s">
        <v>78</v>
      </c>
      <c r="Q964" s="530" t="s">
        <v>78</v>
      </c>
      <c r="R964" s="530" t="s">
        <v>78</v>
      </c>
      <c r="S964" s="530" t="s">
        <v>78</v>
      </c>
    </row>
    <row r="965" spans="1:19" x14ac:dyDescent="0.35">
      <c r="A965" t="s">
        <v>132</v>
      </c>
      <c r="B965">
        <v>513360</v>
      </c>
      <c r="C965">
        <v>17000</v>
      </c>
      <c r="D965" t="s">
        <v>78</v>
      </c>
      <c r="E965" t="s">
        <v>413</v>
      </c>
      <c r="F965" t="s">
        <v>280</v>
      </c>
      <c r="G965" t="s">
        <v>304</v>
      </c>
      <c r="H965" t="s">
        <v>78</v>
      </c>
      <c r="I965" t="s">
        <v>78</v>
      </c>
      <c r="J965" t="s">
        <v>129</v>
      </c>
      <c r="K965" t="s">
        <v>78</v>
      </c>
      <c r="L965" t="s">
        <v>78</v>
      </c>
      <c r="M965" t="s">
        <v>78</v>
      </c>
      <c r="N965" t="s">
        <v>78</v>
      </c>
      <c r="P965" t="s">
        <v>78</v>
      </c>
      <c r="Q965" t="s">
        <v>78</v>
      </c>
      <c r="R965" t="s">
        <v>78</v>
      </c>
      <c r="S965" t="s">
        <v>78</v>
      </c>
    </row>
    <row r="966" spans="1:19" x14ac:dyDescent="0.35">
      <c r="A966" t="s">
        <v>132</v>
      </c>
      <c r="B966">
        <v>16000</v>
      </c>
      <c r="C966">
        <v>17000</v>
      </c>
      <c r="D966" t="s">
        <v>78</v>
      </c>
      <c r="E966" t="s">
        <v>78</v>
      </c>
      <c r="F966" t="s">
        <v>105</v>
      </c>
      <c r="G966" t="s">
        <v>78</v>
      </c>
      <c r="H966" t="s">
        <v>78</v>
      </c>
      <c r="I966" t="s">
        <v>78</v>
      </c>
      <c r="J966" t="s">
        <v>129</v>
      </c>
      <c r="K966" t="s">
        <v>78</v>
      </c>
      <c r="L966" t="s">
        <v>78</v>
      </c>
      <c r="M966" t="s">
        <v>78</v>
      </c>
      <c r="N966" t="s">
        <v>78</v>
      </c>
      <c r="O966" t="s">
        <v>78</v>
      </c>
      <c r="P966" t="s">
        <v>78</v>
      </c>
      <c r="Q966" t="s">
        <v>78</v>
      </c>
      <c r="R966" t="s">
        <v>78</v>
      </c>
      <c r="S966" t="s">
        <v>78</v>
      </c>
    </row>
    <row r="967" spans="1:19" x14ac:dyDescent="0.35">
      <c r="A967" s="531" t="s">
        <v>447</v>
      </c>
      <c r="B967" s="531">
        <v>1403840</v>
      </c>
      <c r="C967" s="531">
        <v>17000</v>
      </c>
      <c r="D967" s="531" t="s">
        <v>78</v>
      </c>
      <c r="E967" s="531" t="s">
        <v>78</v>
      </c>
      <c r="F967" s="531" t="s">
        <v>13</v>
      </c>
      <c r="G967" s="531" t="s">
        <v>78</v>
      </c>
      <c r="H967" s="531" t="s">
        <v>78</v>
      </c>
      <c r="I967" s="531" t="s">
        <v>78</v>
      </c>
      <c r="J967" s="531" t="s">
        <v>129</v>
      </c>
      <c r="K967" s="531" t="s">
        <v>78</v>
      </c>
      <c r="L967" s="531" t="s">
        <v>78</v>
      </c>
      <c r="M967" s="531" t="s">
        <v>78</v>
      </c>
      <c r="N967" s="531" t="s">
        <v>78</v>
      </c>
      <c r="O967" s="531"/>
      <c r="P967" s="531" t="s">
        <v>78</v>
      </c>
      <c r="Q967" s="531" t="s">
        <v>78</v>
      </c>
      <c r="R967" s="531" t="s">
        <v>78</v>
      </c>
      <c r="S967" s="531" t="s">
        <v>78</v>
      </c>
    </row>
    <row r="968" spans="1:19" x14ac:dyDescent="0.35">
      <c r="A968" t="s">
        <v>447</v>
      </c>
      <c r="B968">
        <v>729560</v>
      </c>
      <c r="C968">
        <v>17000</v>
      </c>
      <c r="D968" t="s">
        <v>78</v>
      </c>
      <c r="E968" t="s">
        <v>78</v>
      </c>
      <c r="F968" t="s">
        <v>13</v>
      </c>
      <c r="G968" t="s">
        <v>78</v>
      </c>
      <c r="H968" t="s">
        <v>78</v>
      </c>
      <c r="I968" t="s">
        <v>78</v>
      </c>
      <c r="J968" t="s">
        <v>129</v>
      </c>
      <c r="K968" t="s">
        <v>78</v>
      </c>
      <c r="L968" t="s">
        <v>78</v>
      </c>
      <c r="M968" t="s">
        <v>78</v>
      </c>
      <c r="N968" t="s">
        <v>78</v>
      </c>
      <c r="P968" t="s">
        <v>78</v>
      </c>
      <c r="Q968" t="s">
        <v>78</v>
      </c>
      <c r="R968" t="s">
        <v>78</v>
      </c>
      <c r="S968" t="s">
        <v>78</v>
      </c>
    </row>
    <row r="969" spans="1:19" x14ac:dyDescent="0.35">
      <c r="A969" t="s">
        <v>447</v>
      </c>
      <c r="B969">
        <v>598720</v>
      </c>
      <c r="C969">
        <v>17000</v>
      </c>
      <c r="D969" t="s">
        <v>78</v>
      </c>
      <c r="E969" t="s">
        <v>78</v>
      </c>
      <c r="F969" t="s">
        <v>79</v>
      </c>
      <c r="G969" t="s">
        <v>78</v>
      </c>
      <c r="H969" t="s">
        <v>78</v>
      </c>
      <c r="I969" t="s">
        <v>78</v>
      </c>
      <c r="J969" t="s">
        <v>129</v>
      </c>
      <c r="K969" t="s">
        <v>78</v>
      </c>
      <c r="L969" t="s">
        <v>78</v>
      </c>
      <c r="M969" t="s">
        <v>78</v>
      </c>
      <c r="N969" t="s">
        <v>78</v>
      </c>
      <c r="O969" t="s">
        <v>78</v>
      </c>
      <c r="P969" t="s">
        <v>78</v>
      </c>
      <c r="Q969" t="s">
        <v>78</v>
      </c>
      <c r="R969" t="s">
        <v>78</v>
      </c>
      <c r="S969" t="s">
        <v>78</v>
      </c>
    </row>
    <row r="970" spans="1:19" x14ac:dyDescent="0.35">
      <c r="A970" s="530" t="s">
        <v>444</v>
      </c>
      <c r="B970" s="530">
        <v>110680</v>
      </c>
      <c r="C970" s="530">
        <v>17000</v>
      </c>
      <c r="D970" s="530" t="s">
        <v>78</v>
      </c>
      <c r="E970" s="530" t="s">
        <v>343</v>
      </c>
      <c r="F970" s="530" t="s">
        <v>11</v>
      </c>
      <c r="G970" s="530" t="s">
        <v>303</v>
      </c>
      <c r="H970" s="530" t="s">
        <v>78</v>
      </c>
      <c r="I970" s="530" t="s">
        <v>78</v>
      </c>
      <c r="J970" s="530" t="s">
        <v>129</v>
      </c>
      <c r="K970" s="530" t="s">
        <v>78</v>
      </c>
      <c r="L970" s="530" t="s">
        <v>78</v>
      </c>
      <c r="M970" s="530" t="s">
        <v>78</v>
      </c>
      <c r="N970" s="530" t="s">
        <v>78</v>
      </c>
      <c r="O970" s="530"/>
      <c r="P970" s="530" t="s">
        <v>78</v>
      </c>
      <c r="Q970" s="530" t="s">
        <v>78</v>
      </c>
      <c r="R970" s="530" t="s">
        <v>78</v>
      </c>
      <c r="S970" s="530" t="s">
        <v>78</v>
      </c>
    </row>
    <row r="971" spans="1:19" x14ac:dyDescent="0.35">
      <c r="A971" t="s">
        <v>444</v>
      </c>
      <c r="B971">
        <v>1119480</v>
      </c>
      <c r="C971">
        <v>17000</v>
      </c>
      <c r="D971" t="s">
        <v>78</v>
      </c>
      <c r="E971" t="s">
        <v>413</v>
      </c>
      <c r="F971" t="s">
        <v>11</v>
      </c>
      <c r="G971" t="s">
        <v>298</v>
      </c>
      <c r="H971" t="s">
        <v>78</v>
      </c>
      <c r="I971" t="s">
        <v>78</v>
      </c>
      <c r="J971" t="s">
        <v>129</v>
      </c>
      <c r="K971" t="s">
        <v>78</v>
      </c>
      <c r="L971" t="s">
        <v>78</v>
      </c>
      <c r="M971" t="s">
        <v>78</v>
      </c>
      <c r="N971" t="s">
        <v>78</v>
      </c>
      <c r="P971" t="s">
        <v>78</v>
      </c>
      <c r="Q971" t="s">
        <v>78</v>
      </c>
      <c r="R971" t="s">
        <v>78</v>
      </c>
      <c r="S971" t="s">
        <v>78</v>
      </c>
    </row>
    <row r="972" spans="1:19" x14ac:dyDescent="0.35">
      <c r="A972" t="s">
        <v>444</v>
      </c>
      <c r="B972">
        <v>1419520</v>
      </c>
      <c r="C972">
        <v>17000</v>
      </c>
      <c r="D972" t="s">
        <v>78</v>
      </c>
      <c r="E972" t="s">
        <v>413</v>
      </c>
      <c r="F972" t="s">
        <v>11</v>
      </c>
      <c r="G972" t="s">
        <v>304</v>
      </c>
      <c r="H972" t="s">
        <v>78</v>
      </c>
      <c r="I972" t="s">
        <v>78</v>
      </c>
      <c r="J972" t="s">
        <v>129</v>
      </c>
      <c r="K972" t="s">
        <v>78</v>
      </c>
      <c r="L972" t="s">
        <v>78</v>
      </c>
      <c r="M972" t="s">
        <v>78</v>
      </c>
      <c r="N972" t="s">
        <v>78</v>
      </c>
      <c r="O972" t="s">
        <v>78</v>
      </c>
      <c r="P972" t="s">
        <v>78</v>
      </c>
      <c r="Q972" t="s">
        <v>78</v>
      </c>
      <c r="R972" t="s">
        <v>78</v>
      </c>
      <c r="S972" t="s">
        <v>78</v>
      </c>
    </row>
    <row r="973" spans="1:19" x14ac:dyDescent="0.35">
      <c r="A973" s="531" t="s">
        <v>449</v>
      </c>
      <c r="B973" s="531">
        <v>487880</v>
      </c>
      <c r="C973" s="531">
        <v>17000</v>
      </c>
      <c r="D973" s="531" t="s">
        <v>78</v>
      </c>
      <c r="E973" s="531" t="s">
        <v>343</v>
      </c>
      <c r="F973" s="531" t="s">
        <v>83</v>
      </c>
      <c r="G973" s="531" t="s">
        <v>305</v>
      </c>
      <c r="H973" s="531" t="s">
        <v>78</v>
      </c>
      <c r="I973" s="531" t="s">
        <v>78</v>
      </c>
      <c r="J973" s="531" t="s">
        <v>129</v>
      </c>
      <c r="K973" s="531" t="s">
        <v>78</v>
      </c>
      <c r="L973" s="531" t="s">
        <v>78</v>
      </c>
      <c r="M973" s="531" t="s">
        <v>78</v>
      </c>
      <c r="N973" s="531" t="s">
        <v>78</v>
      </c>
      <c r="O973" s="531"/>
      <c r="P973" s="531" t="s">
        <v>78</v>
      </c>
      <c r="Q973" s="531" t="s">
        <v>78</v>
      </c>
      <c r="R973" s="531" t="s">
        <v>78</v>
      </c>
      <c r="S973" s="531" t="s">
        <v>78</v>
      </c>
    </row>
    <row r="974" spans="1:19" x14ac:dyDescent="0.35">
      <c r="A974" t="s">
        <v>449</v>
      </c>
      <c r="B974">
        <v>1338240</v>
      </c>
      <c r="C974">
        <v>17000</v>
      </c>
      <c r="D974" t="s">
        <v>78</v>
      </c>
      <c r="E974" t="s">
        <v>78</v>
      </c>
      <c r="F974" t="s">
        <v>79</v>
      </c>
      <c r="G974" t="s">
        <v>78</v>
      </c>
      <c r="H974" t="s">
        <v>78</v>
      </c>
      <c r="I974" t="s">
        <v>78</v>
      </c>
      <c r="J974" t="s">
        <v>129</v>
      </c>
      <c r="K974" t="s">
        <v>78</v>
      </c>
      <c r="L974" t="s">
        <v>78</v>
      </c>
      <c r="M974" t="s">
        <v>78</v>
      </c>
      <c r="N974" t="s">
        <v>78</v>
      </c>
      <c r="P974" t="s">
        <v>78</v>
      </c>
      <c r="Q974" t="s">
        <v>78</v>
      </c>
      <c r="R974" t="s">
        <v>78</v>
      </c>
      <c r="S974" t="s">
        <v>78</v>
      </c>
    </row>
    <row r="975" spans="1:19" x14ac:dyDescent="0.35">
      <c r="A975" t="s">
        <v>449</v>
      </c>
      <c r="B975">
        <v>1648160</v>
      </c>
      <c r="C975">
        <v>17000</v>
      </c>
      <c r="D975" t="s">
        <v>78</v>
      </c>
      <c r="E975" t="s">
        <v>78</v>
      </c>
      <c r="F975" t="s">
        <v>13</v>
      </c>
      <c r="G975" t="s">
        <v>78</v>
      </c>
      <c r="H975" t="s">
        <v>78</v>
      </c>
      <c r="I975" t="s">
        <v>78</v>
      </c>
      <c r="J975" t="s">
        <v>129</v>
      </c>
      <c r="K975" t="s">
        <v>78</v>
      </c>
      <c r="L975" t="s">
        <v>78</v>
      </c>
      <c r="M975" t="s">
        <v>78</v>
      </c>
      <c r="N975" t="s">
        <v>78</v>
      </c>
      <c r="O975" t="s">
        <v>78</v>
      </c>
      <c r="P975" t="s">
        <v>78</v>
      </c>
      <c r="Q975" t="s">
        <v>78</v>
      </c>
      <c r="R975" t="s">
        <v>78</v>
      </c>
      <c r="S975" t="s">
        <v>78</v>
      </c>
    </row>
    <row r="976" spans="1:19" x14ac:dyDescent="0.35">
      <c r="A976" s="530" t="s">
        <v>445</v>
      </c>
      <c r="B976" s="530">
        <v>532000</v>
      </c>
      <c r="C976" s="530">
        <v>17000</v>
      </c>
      <c r="D976" s="530" t="s">
        <v>78</v>
      </c>
      <c r="E976" s="530" t="s">
        <v>78</v>
      </c>
      <c r="F976" s="530" t="s">
        <v>79</v>
      </c>
      <c r="G976" s="530" t="s">
        <v>78</v>
      </c>
      <c r="H976" s="530" t="s">
        <v>78</v>
      </c>
      <c r="I976" s="530" t="s">
        <v>78</v>
      </c>
      <c r="J976" s="530" t="s">
        <v>129</v>
      </c>
      <c r="K976" s="530" t="s">
        <v>78</v>
      </c>
      <c r="L976" s="530" t="s">
        <v>78</v>
      </c>
      <c r="M976" s="530" t="s">
        <v>78</v>
      </c>
      <c r="N976" s="530" t="s">
        <v>78</v>
      </c>
      <c r="O976" s="530"/>
      <c r="P976" s="530" t="s">
        <v>78</v>
      </c>
      <c r="Q976" s="530" t="s">
        <v>78</v>
      </c>
      <c r="R976" s="530" t="s">
        <v>78</v>
      </c>
      <c r="S976" s="530" t="s">
        <v>78</v>
      </c>
    </row>
    <row r="977" spans="1:19" x14ac:dyDescent="0.35">
      <c r="A977" t="s">
        <v>445</v>
      </c>
      <c r="B977">
        <v>1778160</v>
      </c>
      <c r="C977">
        <v>17000</v>
      </c>
      <c r="D977" t="s">
        <v>78</v>
      </c>
      <c r="E977" t="s">
        <v>413</v>
      </c>
      <c r="F977" t="s">
        <v>11</v>
      </c>
      <c r="G977" t="s">
        <v>308</v>
      </c>
      <c r="H977" t="s">
        <v>78</v>
      </c>
      <c r="I977" t="s">
        <v>78</v>
      </c>
      <c r="J977" t="s">
        <v>129</v>
      </c>
      <c r="K977" t="s">
        <v>78</v>
      </c>
      <c r="L977" t="s">
        <v>78</v>
      </c>
      <c r="M977" t="s">
        <v>78</v>
      </c>
      <c r="N977" t="s">
        <v>78</v>
      </c>
      <c r="P977" t="s">
        <v>78</v>
      </c>
      <c r="Q977" t="s">
        <v>78</v>
      </c>
      <c r="R977" t="s">
        <v>78</v>
      </c>
      <c r="S977" t="s">
        <v>78</v>
      </c>
    </row>
    <row r="978" spans="1:19" x14ac:dyDescent="0.35">
      <c r="A978" t="s">
        <v>445</v>
      </c>
      <c r="B978">
        <v>1712000</v>
      </c>
      <c r="C978">
        <v>17000</v>
      </c>
      <c r="D978" t="s">
        <v>78</v>
      </c>
      <c r="E978" t="s">
        <v>78</v>
      </c>
      <c r="F978" t="s">
        <v>13</v>
      </c>
      <c r="G978" t="s">
        <v>78</v>
      </c>
      <c r="H978" t="s">
        <v>78</v>
      </c>
      <c r="I978" t="s">
        <v>78</v>
      </c>
      <c r="J978" t="s">
        <v>129</v>
      </c>
      <c r="K978" t="s">
        <v>78</v>
      </c>
      <c r="L978" t="s">
        <v>78</v>
      </c>
      <c r="M978" t="s">
        <v>78</v>
      </c>
      <c r="N978" t="s">
        <v>78</v>
      </c>
      <c r="O978" t="s">
        <v>78</v>
      </c>
      <c r="P978" t="s">
        <v>78</v>
      </c>
      <c r="Q978" t="s">
        <v>78</v>
      </c>
      <c r="R978" t="s">
        <v>78</v>
      </c>
      <c r="S978" t="s">
        <v>78</v>
      </c>
    </row>
    <row r="979" spans="1:19" x14ac:dyDescent="0.35">
      <c r="A979" s="531" t="s">
        <v>440</v>
      </c>
      <c r="B979" s="531">
        <v>88880</v>
      </c>
      <c r="C979" s="531">
        <v>17000</v>
      </c>
      <c r="D979" s="531" t="s">
        <v>78</v>
      </c>
      <c r="E979" s="531" t="s">
        <v>413</v>
      </c>
      <c r="F979" s="531" t="s">
        <v>10</v>
      </c>
      <c r="G979" s="531" t="s">
        <v>308</v>
      </c>
      <c r="H979" s="531" t="s">
        <v>78</v>
      </c>
      <c r="I979" s="531" t="s">
        <v>78</v>
      </c>
      <c r="J979" s="531" t="s">
        <v>129</v>
      </c>
      <c r="K979" s="531" t="s">
        <v>78</v>
      </c>
      <c r="L979" s="531" t="s">
        <v>78</v>
      </c>
      <c r="M979" s="531" t="s">
        <v>78</v>
      </c>
      <c r="N979" s="531" t="s">
        <v>78</v>
      </c>
      <c r="O979" s="531"/>
      <c r="P979" s="531" t="s">
        <v>78</v>
      </c>
      <c r="Q979" s="531" t="s">
        <v>78</v>
      </c>
      <c r="R979" s="531" t="s">
        <v>78</v>
      </c>
      <c r="S979" s="531" t="s">
        <v>78</v>
      </c>
    </row>
    <row r="980" spans="1:19" x14ac:dyDescent="0.35">
      <c r="A980" t="s">
        <v>440</v>
      </c>
      <c r="B980">
        <v>1990640</v>
      </c>
      <c r="C980">
        <v>17000</v>
      </c>
      <c r="D980" t="s">
        <v>78</v>
      </c>
      <c r="E980" t="s">
        <v>78</v>
      </c>
      <c r="F980" t="s">
        <v>105</v>
      </c>
      <c r="G980" t="s">
        <v>78</v>
      </c>
      <c r="H980" t="s">
        <v>78</v>
      </c>
      <c r="I980" t="s">
        <v>78</v>
      </c>
      <c r="J980" t="s">
        <v>129</v>
      </c>
      <c r="K980" t="s">
        <v>78</v>
      </c>
      <c r="L980" t="s">
        <v>78</v>
      </c>
      <c r="M980" t="s">
        <v>78</v>
      </c>
      <c r="N980" t="s">
        <v>78</v>
      </c>
      <c r="P980" t="s">
        <v>78</v>
      </c>
      <c r="Q980" t="s">
        <v>78</v>
      </c>
      <c r="R980" t="s">
        <v>78</v>
      </c>
      <c r="S980" t="s">
        <v>78</v>
      </c>
    </row>
    <row r="981" spans="1:19" x14ac:dyDescent="0.35">
      <c r="A981" t="s">
        <v>440</v>
      </c>
      <c r="B981">
        <v>123760</v>
      </c>
      <c r="C981">
        <v>17000</v>
      </c>
      <c r="D981" t="s">
        <v>78</v>
      </c>
      <c r="E981" t="s">
        <v>78</v>
      </c>
      <c r="F981" t="s">
        <v>13</v>
      </c>
      <c r="G981" t="s">
        <v>78</v>
      </c>
      <c r="H981" t="s">
        <v>78</v>
      </c>
      <c r="I981" t="s">
        <v>78</v>
      </c>
      <c r="J981" t="s">
        <v>129</v>
      </c>
      <c r="K981" t="s">
        <v>78</v>
      </c>
      <c r="L981" t="s">
        <v>78</v>
      </c>
      <c r="M981" t="s">
        <v>78</v>
      </c>
      <c r="N981" t="s">
        <v>78</v>
      </c>
      <c r="O981" t="s">
        <v>78</v>
      </c>
      <c r="P981" t="s">
        <v>78</v>
      </c>
      <c r="Q981" t="s">
        <v>78</v>
      </c>
      <c r="R981" t="s">
        <v>78</v>
      </c>
      <c r="S981" t="s">
        <v>78</v>
      </c>
    </row>
    <row r="982" spans="1:19" x14ac:dyDescent="0.35">
      <c r="A982" s="530" t="s">
        <v>162</v>
      </c>
      <c r="B982" s="530">
        <v>675840</v>
      </c>
      <c r="C982" s="530">
        <v>17000</v>
      </c>
      <c r="D982" s="530" t="s">
        <v>78</v>
      </c>
      <c r="E982" s="530" t="s">
        <v>439</v>
      </c>
      <c r="F982" s="530" t="s">
        <v>13</v>
      </c>
      <c r="G982" s="530" t="s">
        <v>78</v>
      </c>
      <c r="H982" s="530" t="s">
        <v>78</v>
      </c>
      <c r="I982" s="530" t="s">
        <v>19</v>
      </c>
      <c r="J982" s="530" t="s">
        <v>78</v>
      </c>
      <c r="K982" s="530" t="s">
        <v>78</v>
      </c>
      <c r="L982" s="530" t="s">
        <v>78</v>
      </c>
      <c r="M982" s="530" t="s">
        <v>78</v>
      </c>
      <c r="N982" s="530" t="s">
        <v>78</v>
      </c>
      <c r="O982" s="530"/>
      <c r="P982" s="530" t="s">
        <v>78</v>
      </c>
      <c r="Q982" s="530" t="s">
        <v>78</v>
      </c>
      <c r="R982" s="530" t="s">
        <v>78</v>
      </c>
      <c r="S982" s="530" t="s">
        <v>78</v>
      </c>
    </row>
    <row r="983" spans="1:19" x14ac:dyDescent="0.35">
      <c r="A983" s="530" t="s">
        <v>162</v>
      </c>
      <c r="B983" s="530">
        <v>1292880</v>
      </c>
      <c r="C983" s="530">
        <v>17000</v>
      </c>
      <c r="D983" s="530" t="s">
        <v>78</v>
      </c>
      <c r="E983" s="530" t="s">
        <v>376</v>
      </c>
      <c r="F983" s="530" t="s">
        <v>11</v>
      </c>
      <c r="G983" s="530" t="s">
        <v>296</v>
      </c>
      <c r="H983" s="530" t="s">
        <v>78</v>
      </c>
      <c r="I983" s="530" t="s">
        <v>19</v>
      </c>
      <c r="J983" s="530" t="s">
        <v>78</v>
      </c>
      <c r="K983" s="530" t="s">
        <v>78</v>
      </c>
      <c r="L983" s="530" t="s">
        <v>78</v>
      </c>
      <c r="M983" s="530" t="s">
        <v>78</v>
      </c>
      <c r="N983" s="530" t="s">
        <v>78</v>
      </c>
      <c r="O983" s="530"/>
      <c r="P983" s="530" t="s">
        <v>78</v>
      </c>
      <c r="Q983" s="530" t="s">
        <v>78</v>
      </c>
      <c r="R983" s="530" t="s">
        <v>78</v>
      </c>
      <c r="S983" s="530" t="s">
        <v>566</v>
      </c>
    </row>
    <row r="984" spans="1:19" x14ac:dyDescent="0.35">
      <c r="A984" s="530" t="s">
        <v>162</v>
      </c>
      <c r="B984" s="530">
        <v>96360</v>
      </c>
      <c r="C984" s="530">
        <v>17000</v>
      </c>
      <c r="D984" s="530" t="s">
        <v>78</v>
      </c>
      <c r="E984" s="530" t="s">
        <v>346</v>
      </c>
      <c r="F984" s="530" t="s">
        <v>11</v>
      </c>
      <c r="G984" s="530" t="s">
        <v>305</v>
      </c>
      <c r="H984" s="530" t="s">
        <v>78</v>
      </c>
      <c r="I984" s="530" t="s">
        <v>19</v>
      </c>
      <c r="J984" s="530" t="s">
        <v>78</v>
      </c>
      <c r="K984" s="530" t="s">
        <v>78</v>
      </c>
      <c r="L984" s="530" t="s">
        <v>78</v>
      </c>
      <c r="M984" s="530" t="s">
        <v>78</v>
      </c>
      <c r="N984" s="530" t="s">
        <v>78</v>
      </c>
      <c r="O984" s="530"/>
      <c r="P984" s="530" t="s">
        <v>78</v>
      </c>
      <c r="Q984" s="530" t="s">
        <v>78</v>
      </c>
      <c r="R984" s="530" t="s">
        <v>78</v>
      </c>
      <c r="S984" s="530" t="s">
        <v>566</v>
      </c>
    </row>
    <row r="985" spans="1:19" x14ac:dyDescent="0.35">
      <c r="A985" t="s">
        <v>162</v>
      </c>
      <c r="B985">
        <v>129480</v>
      </c>
      <c r="C985">
        <v>17000</v>
      </c>
      <c r="D985" t="s">
        <v>78</v>
      </c>
      <c r="E985" t="s">
        <v>376</v>
      </c>
      <c r="F985" t="s">
        <v>11</v>
      </c>
      <c r="G985" t="s">
        <v>304</v>
      </c>
      <c r="H985" t="s">
        <v>78</v>
      </c>
      <c r="I985" t="s">
        <v>19</v>
      </c>
      <c r="J985" t="s">
        <v>78</v>
      </c>
      <c r="K985" t="s">
        <v>78</v>
      </c>
      <c r="L985" t="s">
        <v>78</v>
      </c>
      <c r="M985" t="s">
        <v>78</v>
      </c>
      <c r="N985" t="s">
        <v>78</v>
      </c>
      <c r="P985" t="s">
        <v>78</v>
      </c>
      <c r="Q985" t="s">
        <v>78</v>
      </c>
      <c r="R985" t="s">
        <v>78</v>
      </c>
      <c r="S985" t="s">
        <v>419</v>
      </c>
    </row>
    <row r="986" spans="1:19" x14ac:dyDescent="0.35">
      <c r="A986" t="s">
        <v>162</v>
      </c>
      <c r="B986">
        <v>475080</v>
      </c>
      <c r="C986">
        <v>17000</v>
      </c>
      <c r="D986" t="s">
        <v>78</v>
      </c>
      <c r="E986" t="s">
        <v>376</v>
      </c>
      <c r="F986" t="s">
        <v>13</v>
      </c>
      <c r="G986" t="s">
        <v>78</v>
      </c>
      <c r="H986" t="s">
        <v>78</v>
      </c>
      <c r="I986" t="s">
        <v>19</v>
      </c>
      <c r="J986" t="s">
        <v>78</v>
      </c>
      <c r="K986" t="s">
        <v>78</v>
      </c>
      <c r="L986" t="s">
        <v>78</v>
      </c>
      <c r="M986" t="s">
        <v>78</v>
      </c>
      <c r="N986" t="s">
        <v>78</v>
      </c>
      <c r="O986" t="s">
        <v>78</v>
      </c>
      <c r="P986" t="s">
        <v>78</v>
      </c>
      <c r="Q986" t="s">
        <v>78</v>
      </c>
      <c r="R986" t="s">
        <v>78</v>
      </c>
      <c r="S986" t="s">
        <v>78</v>
      </c>
    </row>
    <row r="987" spans="1:19" x14ac:dyDescent="0.35">
      <c r="A987" s="531" t="s">
        <v>382</v>
      </c>
      <c r="B987" s="531">
        <v>908880</v>
      </c>
      <c r="C987" s="531">
        <v>17000</v>
      </c>
      <c r="D987" s="531" t="s">
        <v>78</v>
      </c>
      <c r="E987" s="531" t="s">
        <v>376</v>
      </c>
      <c r="F987" s="531" t="s">
        <v>83</v>
      </c>
      <c r="G987" s="531" t="s">
        <v>304</v>
      </c>
      <c r="H987" s="531" t="s">
        <v>78</v>
      </c>
      <c r="I987" s="531" t="s">
        <v>19</v>
      </c>
      <c r="J987" s="531" t="s">
        <v>78</v>
      </c>
      <c r="K987" s="531" t="s">
        <v>78</v>
      </c>
      <c r="L987" s="531" t="s">
        <v>78</v>
      </c>
      <c r="M987" s="531" t="s">
        <v>78</v>
      </c>
      <c r="N987" s="531" t="s">
        <v>78</v>
      </c>
      <c r="O987" s="531"/>
      <c r="P987" s="531" t="s">
        <v>78</v>
      </c>
      <c r="Q987" s="531" t="s">
        <v>78</v>
      </c>
      <c r="R987" s="531" t="s">
        <v>78</v>
      </c>
      <c r="S987" s="531" t="s">
        <v>78</v>
      </c>
    </row>
    <row r="988" spans="1:19" x14ac:dyDescent="0.35">
      <c r="A988" s="531" t="s">
        <v>382</v>
      </c>
      <c r="B988" s="531">
        <v>95680</v>
      </c>
      <c r="C988" s="531">
        <v>17000</v>
      </c>
      <c r="D988" s="531" t="s">
        <v>78</v>
      </c>
      <c r="E988" s="531" t="s">
        <v>415</v>
      </c>
      <c r="F988" s="531" t="s">
        <v>11</v>
      </c>
      <c r="G988" s="531" t="s">
        <v>282</v>
      </c>
      <c r="H988" s="531" t="s">
        <v>78</v>
      </c>
      <c r="I988" s="531" t="s">
        <v>19</v>
      </c>
      <c r="J988" s="531" t="s">
        <v>78</v>
      </c>
      <c r="K988" s="531" t="s">
        <v>78</v>
      </c>
      <c r="L988" s="531" t="s">
        <v>78</v>
      </c>
      <c r="M988" s="531" t="s">
        <v>78</v>
      </c>
      <c r="N988" s="531" t="s">
        <v>78</v>
      </c>
      <c r="O988" s="531"/>
      <c r="P988" s="531" t="s">
        <v>78</v>
      </c>
      <c r="Q988" s="531" t="s">
        <v>78</v>
      </c>
      <c r="R988" s="531" t="s">
        <v>78</v>
      </c>
      <c r="S988" s="531" t="s">
        <v>566</v>
      </c>
    </row>
    <row r="989" spans="1:19" x14ac:dyDescent="0.35">
      <c r="A989" t="s">
        <v>382</v>
      </c>
      <c r="B989">
        <v>1709760</v>
      </c>
      <c r="C989">
        <v>17000</v>
      </c>
      <c r="D989" t="s">
        <v>78</v>
      </c>
      <c r="E989" t="s">
        <v>415</v>
      </c>
      <c r="F989" t="s">
        <v>105</v>
      </c>
      <c r="G989" t="s">
        <v>78</v>
      </c>
      <c r="H989" t="s">
        <v>78</v>
      </c>
      <c r="I989" t="s">
        <v>19</v>
      </c>
      <c r="J989" t="s">
        <v>78</v>
      </c>
      <c r="K989" t="s">
        <v>78</v>
      </c>
      <c r="L989" t="s">
        <v>78</v>
      </c>
      <c r="M989" t="s">
        <v>78</v>
      </c>
      <c r="N989" t="s">
        <v>78</v>
      </c>
      <c r="P989" t="s">
        <v>78</v>
      </c>
      <c r="Q989" t="s">
        <v>78</v>
      </c>
      <c r="R989" t="s">
        <v>78</v>
      </c>
      <c r="S989" t="s">
        <v>506</v>
      </c>
    </row>
    <row r="990" spans="1:19" x14ac:dyDescent="0.35">
      <c r="A990" t="s">
        <v>382</v>
      </c>
      <c r="B990">
        <v>108720</v>
      </c>
      <c r="C990">
        <v>17000</v>
      </c>
      <c r="D990" t="s">
        <v>78</v>
      </c>
      <c r="E990" t="s">
        <v>420</v>
      </c>
      <c r="F990" t="s">
        <v>11</v>
      </c>
      <c r="G990" t="s">
        <v>296</v>
      </c>
      <c r="H990" t="s">
        <v>78</v>
      </c>
      <c r="I990" t="s">
        <v>19</v>
      </c>
      <c r="J990" t="s">
        <v>78</v>
      </c>
      <c r="K990" t="s">
        <v>78</v>
      </c>
      <c r="L990" t="s">
        <v>78</v>
      </c>
      <c r="M990" t="s">
        <v>78</v>
      </c>
      <c r="N990" t="s">
        <v>78</v>
      </c>
      <c r="O990" t="s">
        <v>78</v>
      </c>
      <c r="P990" t="s">
        <v>78</v>
      </c>
      <c r="Q990" t="s">
        <v>78</v>
      </c>
      <c r="R990" t="s">
        <v>78</v>
      </c>
      <c r="S990" t="s">
        <v>78</v>
      </c>
    </row>
    <row r="991" spans="1:19" x14ac:dyDescent="0.35">
      <c r="A991" s="530" t="s">
        <v>477</v>
      </c>
      <c r="B991" s="530">
        <v>1162360</v>
      </c>
      <c r="C991" s="530">
        <v>17000</v>
      </c>
      <c r="D991" s="530" t="s">
        <v>78</v>
      </c>
      <c r="E991" s="530" t="s">
        <v>344</v>
      </c>
      <c r="F991" s="530" t="s">
        <v>11</v>
      </c>
      <c r="G991" s="530" t="s">
        <v>283</v>
      </c>
      <c r="H991" s="530" t="s">
        <v>78</v>
      </c>
      <c r="I991" s="530" t="s">
        <v>19</v>
      </c>
      <c r="J991" s="530" t="s">
        <v>78</v>
      </c>
      <c r="K991" s="530" t="s">
        <v>78</v>
      </c>
      <c r="L991" s="530" t="s">
        <v>78</v>
      </c>
      <c r="M991" s="530" t="s">
        <v>78</v>
      </c>
      <c r="N991" s="530" t="s">
        <v>78</v>
      </c>
      <c r="O991" s="530"/>
      <c r="P991" s="530" t="s">
        <v>78</v>
      </c>
      <c r="Q991" s="530" t="s">
        <v>78</v>
      </c>
      <c r="R991" s="530" t="s">
        <v>78</v>
      </c>
      <c r="S991" s="530" t="s">
        <v>78</v>
      </c>
    </row>
    <row r="992" spans="1:19" x14ac:dyDescent="0.35">
      <c r="A992" s="531" t="s">
        <v>477</v>
      </c>
      <c r="B992" s="531">
        <v>514520</v>
      </c>
      <c r="C992" s="531">
        <v>17000</v>
      </c>
      <c r="D992" s="531" t="s">
        <v>78</v>
      </c>
      <c r="E992" s="531" t="s">
        <v>422</v>
      </c>
      <c r="F992" s="531" t="s">
        <v>83</v>
      </c>
      <c r="G992" s="531" t="s">
        <v>15</v>
      </c>
      <c r="H992" s="531" t="s">
        <v>78</v>
      </c>
      <c r="I992" s="531" t="s">
        <v>19</v>
      </c>
      <c r="J992" s="531" t="s">
        <v>78</v>
      </c>
      <c r="K992" s="531" t="s">
        <v>78</v>
      </c>
      <c r="L992" s="531" t="s">
        <v>78</v>
      </c>
      <c r="M992" s="531" t="s">
        <v>78</v>
      </c>
      <c r="N992" s="531" t="s">
        <v>78</v>
      </c>
      <c r="O992" s="531"/>
      <c r="P992" s="531" t="s">
        <v>78</v>
      </c>
      <c r="Q992" s="531" t="s">
        <v>78</v>
      </c>
      <c r="R992" s="531" t="s">
        <v>78</v>
      </c>
      <c r="S992" s="531" t="s">
        <v>78</v>
      </c>
    </row>
    <row r="993" spans="1:19" x14ac:dyDescent="0.35">
      <c r="A993" t="s">
        <v>477</v>
      </c>
      <c r="B993">
        <v>166120</v>
      </c>
      <c r="C993">
        <v>17000</v>
      </c>
      <c r="D993" t="s">
        <v>78</v>
      </c>
      <c r="E993" t="s">
        <v>344</v>
      </c>
      <c r="F993" t="s">
        <v>11</v>
      </c>
      <c r="G993" t="s">
        <v>298</v>
      </c>
      <c r="H993" t="s">
        <v>78</v>
      </c>
      <c r="I993" t="s">
        <v>19</v>
      </c>
      <c r="J993" t="s">
        <v>78</v>
      </c>
      <c r="K993" t="s">
        <v>78</v>
      </c>
      <c r="L993" t="s">
        <v>78</v>
      </c>
      <c r="M993" t="s">
        <v>78</v>
      </c>
      <c r="N993" t="s">
        <v>78</v>
      </c>
      <c r="O993" t="s">
        <v>78</v>
      </c>
      <c r="P993" t="s">
        <v>78</v>
      </c>
      <c r="Q993" t="s">
        <v>78</v>
      </c>
      <c r="R993" t="s">
        <v>78</v>
      </c>
      <c r="S993" t="s">
        <v>78</v>
      </c>
    </row>
    <row r="994" spans="1:19" x14ac:dyDescent="0.35">
      <c r="A994" s="531" t="s">
        <v>476</v>
      </c>
      <c r="B994" s="531">
        <v>1497000</v>
      </c>
      <c r="C994" s="531">
        <v>17000</v>
      </c>
      <c r="D994" s="531" t="s">
        <v>78</v>
      </c>
      <c r="E994" s="531" t="s">
        <v>415</v>
      </c>
      <c r="F994" s="531" t="s">
        <v>79</v>
      </c>
      <c r="G994" s="531" t="s">
        <v>78</v>
      </c>
      <c r="H994" s="531" t="s">
        <v>78</v>
      </c>
      <c r="I994" s="531" t="s">
        <v>19</v>
      </c>
      <c r="J994" s="531" t="s">
        <v>78</v>
      </c>
      <c r="K994" s="531" t="s">
        <v>78</v>
      </c>
      <c r="L994" s="531" t="s">
        <v>78</v>
      </c>
      <c r="M994" s="531" t="s">
        <v>78</v>
      </c>
      <c r="N994" s="531" t="s">
        <v>78</v>
      </c>
      <c r="O994" s="531"/>
      <c r="P994" s="531" t="s">
        <v>78</v>
      </c>
      <c r="Q994" s="531" t="s">
        <v>78</v>
      </c>
      <c r="R994" s="531" t="s">
        <v>151</v>
      </c>
      <c r="S994" s="531" t="s">
        <v>419</v>
      </c>
    </row>
    <row r="995" spans="1:19" x14ac:dyDescent="0.35">
      <c r="A995" t="s">
        <v>476</v>
      </c>
      <c r="B995">
        <v>279680</v>
      </c>
      <c r="C995">
        <v>17000</v>
      </c>
      <c r="D995" t="s">
        <v>78</v>
      </c>
      <c r="E995" t="s">
        <v>344</v>
      </c>
      <c r="F995" t="s">
        <v>13</v>
      </c>
      <c r="G995" t="s">
        <v>78</v>
      </c>
      <c r="H995" t="s">
        <v>78</v>
      </c>
      <c r="I995" t="s">
        <v>19</v>
      </c>
      <c r="J995" t="s">
        <v>78</v>
      </c>
      <c r="K995" t="s">
        <v>78</v>
      </c>
      <c r="L995" t="s">
        <v>78</v>
      </c>
      <c r="M995" t="s">
        <v>78</v>
      </c>
      <c r="N995" t="s">
        <v>78</v>
      </c>
      <c r="O995" t="s">
        <v>78</v>
      </c>
      <c r="P995" t="s">
        <v>78</v>
      </c>
      <c r="Q995" t="s">
        <v>78</v>
      </c>
      <c r="R995" t="s">
        <v>78</v>
      </c>
      <c r="S995" t="s">
        <v>419</v>
      </c>
    </row>
    <row r="996" spans="1:19" x14ac:dyDescent="0.35">
      <c r="A996" t="s">
        <v>624</v>
      </c>
      <c r="B996">
        <v>366560</v>
      </c>
      <c r="C996">
        <v>17000</v>
      </c>
      <c r="D996" t="s">
        <v>78</v>
      </c>
      <c r="E996" t="s">
        <v>344</v>
      </c>
      <c r="F996" t="s">
        <v>13</v>
      </c>
      <c r="G996" t="s">
        <v>78</v>
      </c>
      <c r="H996" t="s">
        <v>78</v>
      </c>
      <c r="I996" t="s">
        <v>19</v>
      </c>
      <c r="J996" t="s">
        <v>78</v>
      </c>
      <c r="K996" t="s">
        <v>78</v>
      </c>
      <c r="L996" t="s">
        <v>78</v>
      </c>
      <c r="M996" t="s">
        <v>78</v>
      </c>
      <c r="N996" t="s">
        <v>78</v>
      </c>
      <c r="O996" t="s">
        <v>78</v>
      </c>
      <c r="P996" t="s">
        <v>78</v>
      </c>
      <c r="Q996" t="s">
        <v>78</v>
      </c>
      <c r="R996" t="s">
        <v>78</v>
      </c>
      <c r="S996" t="s">
        <v>78</v>
      </c>
    </row>
    <row r="997" spans="1:19" x14ac:dyDescent="0.35">
      <c r="A997" t="s">
        <v>623</v>
      </c>
      <c r="B997">
        <v>1543200</v>
      </c>
      <c r="C997">
        <v>17000</v>
      </c>
      <c r="D997" t="s">
        <v>78</v>
      </c>
      <c r="E997" t="s">
        <v>439</v>
      </c>
      <c r="F997" t="s">
        <v>13</v>
      </c>
      <c r="G997" t="s">
        <v>78</v>
      </c>
      <c r="H997" t="s">
        <v>78</v>
      </c>
      <c r="I997" t="s">
        <v>19</v>
      </c>
      <c r="J997" t="s">
        <v>78</v>
      </c>
      <c r="K997" t="s">
        <v>78</v>
      </c>
      <c r="L997" t="s">
        <v>78</v>
      </c>
      <c r="M997" t="s">
        <v>78</v>
      </c>
      <c r="N997" t="s">
        <v>78</v>
      </c>
      <c r="O997" t="s">
        <v>78</v>
      </c>
      <c r="P997" t="s">
        <v>78</v>
      </c>
      <c r="Q997" t="s">
        <v>78</v>
      </c>
      <c r="R997" t="s">
        <v>78</v>
      </c>
      <c r="S997" t="s">
        <v>78</v>
      </c>
    </row>
    <row r="998" spans="1:19" x14ac:dyDescent="0.35">
      <c r="A998" s="531" t="s">
        <v>163</v>
      </c>
      <c r="B998" s="531">
        <v>1045920</v>
      </c>
      <c r="C998" s="531">
        <v>17000</v>
      </c>
      <c r="D998" s="531" t="s">
        <v>78</v>
      </c>
      <c r="E998" s="531" t="s">
        <v>346</v>
      </c>
      <c r="F998" s="531" t="s">
        <v>11</v>
      </c>
      <c r="G998" s="531" t="s">
        <v>301</v>
      </c>
      <c r="H998" s="531" t="s">
        <v>78</v>
      </c>
      <c r="I998" s="531" t="s">
        <v>19</v>
      </c>
      <c r="J998" s="531" t="s">
        <v>78</v>
      </c>
      <c r="K998" s="531" t="s">
        <v>78</v>
      </c>
      <c r="L998" s="531" t="s">
        <v>78</v>
      </c>
      <c r="M998" s="531" t="s">
        <v>78</v>
      </c>
      <c r="N998" s="531" t="s">
        <v>78</v>
      </c>
      <c r="O998" s="531"/>
      <c r="P998" s="531" t="s">
        <v>78</v>
      </c>
      <c r="Q998" s="531" t="s">
        <v>78</v>
      </c>
      <c r="R998" s="531" t="s">
        <v>78</v>
      </c>
      <c r="S998" s="531" t="s">
        <v>506</v>
      </c>
    </row>
    <row r="999" spans="1:19" x14ac:dyDescent="0.35">
      <c r="A999" s="531" t="s">
        <v>163</v>
      </c>
      <c r="B999" s="531">
        <v>239520</v>
      </c>
      <c r="C999" s="531">
        <v>17000</v>
      </c>
      <c r="D999" s="531" t="s">
        <v>78</v>
      </c>
      <c r="E999" s="531" t="s">
        <v>348</v>
      </c>
      <c r="F999" s="531" t="s">
        <v>105</v>
      </c>
      <c r="G999" s="531" t="s">
        <v>78</v>
      </c>
      <c r="H999" s="531" t="s">
        <v>78</v>
      </c>
      <c r="I999" s="531" t="s">
        <v>19</v>
      </c>
      <c r="J999" s="531" t="s">
        <v>78</v>
      </c>
      <c r="K999" s="531" t="s">
        <v>78</v>
      </c>
      <c r="L999" s="531" t="s">
        <v>78</v>
      </c>
      <c r="M999" s="531" t="s">
        <v>78</v>
      </c>
      <c r="N999" s="531" t="s">
        <v>78</v>
      </c>
      <c r="O999" s="531"/>
      <c r="P999" s="531" t="s">
        <v>78</v>
      </c>
      <c r="Q999" s="531" t="s">
        <v>78</v>
      </c>
      <c r="R999" s="531" t="s">
        <v>78</v>
      </c>
      <c r="S999" s="531" t="s">
        <v>78</v>
      </c>
    </row>
    <row r="1000" spans="1:19" x14ac:dyDescent="0.35">
      <c r="A1000" s="530" t="s">
        <v>163</v>
      </c>
      <c r="B1000" s="530">
        <v>1432160</v>
      </c>
      <c r="C1000" s="530">
        <v>17000</v>
      </c>
      <c r="D1000" s="530" t="s">
        <v>78</v>
      </c>
      <c r="E1000" s="530" t="s">
        <v>346</v>
      </c>
      <c r="F1000" s="530" t="s">
        <v>83</v>
      </c>
      <c r="G1000" s="530" t="s">
        <v>308</v>
      </c>
      <c r="H1000" s="530" t="s">
        <v>78</v>
      </c>
      <c r="I1000" s="530" t="s">
        <v>19</v>
      </c>
      <c r="J1000" s="530" t="s">
        <v>78</v>
      </c>
      <c r="K1000" s="530" t="s">
        <v>78</v>
      </c>
      <c r="L1000" s="530" t="s">
        <v>78</v>
      </c>
      <c r="M1000" s="530" t="s">
        <v>78</v>
      </c>
      <c r="N1000" s="530" t="s">
        <v>78</v>
      </c>
      <c r="O1000" s="530"/>
      <c r="P1000" s="530" t="s">
        <v>78</v>
      </c>
      <c r="Q1000" s="530" t="s">
        <v>78</v>
      </c>
      <c r="R1000" s="530" t="s">
        <v>78</v>
      </c>
      <c r="S1000" s="530" t="s">
        <v>506</v>
      </c>
    </row>
    <row r="1001" spans="1:19" x14ac:dyDescent="0.35">
      <c r="A1001" t="s">
        <v>163</v>
      </c>
      <c r="B1001">
        <v>1463320</v>
      </c>
      <c r="C1001">
        <v>17000</v>
      </c>
      <c r="D1001" t="s">
        <v>78</v>
      </c>
      <c r="E1001" t="s">
        <v>347</v>
      </c>
      <c r="F1001" t="s">
        <v>83</v>
      </c>
      <c r="G1001" t="s">
        <v>17</v>
      </c>
      <c r="H1001" t="s">
        <v>78</v>
      </c>
      <c r="I1001" t="s">
        <v>19</v>
      </c>
      <c r="J1001" t="s">
        <v>78</v>
      </c>
      <c r="K1001" t="s">
        <v>78</v>
      </c>
      <c r="L1001" t="s">
        <v>78</v>
      </c>
      <c r="M1001" t="s">
        <v>78</v>
      </c>
      <c r="N1001" t="s">
        <v>78</v>
      </c>
      <c r="P1001" t="s">
        <v>78</v>
      </c>
      <c r="Q1001" t="s">
        <v>78</v>
      </c>
      <c r="R1001" t="s">
        <v>78</v>
      </c>
      <c r="S1001" t="s">
        <v>566</v>
      </c>
    </row>
    <row r="1002" spans="1:19" x14ac:dyDescent="0.35">
      <c r="A1002" t="s">
        <v>163</v>
      </c>
      <c r="B1002">
        <v>616720</v>
      </c>
      <c r="C1002">
        <v>17000</v>
      </c>
      <c r="D1002" t="s">
        <v>78</v>
      </c>
      <c r="E1002" t="s">
        <v>439</v>
      </c>
      <c r="F1002" t="s">
        <v>105</v>
      </c>
      <c r="G1002" t="s">
        <v>78</v>
      </c>
      <c r="H1002" t="s">
        <v>78</v>
      </c>
      <c r="I1002" t="s">
        <v>19</v>
      </c>
      <c r="J1002" t="s">
        <v>78</v>
      </c>
      <c r="K1002" t="s">
        <v>78</v>
      </c>
      <c r="L1002" t="s">
        <v>78</v>
      </c>
      <c r="M1002" t="s">
        <v>78</v>
      </c>
      <c r="N1002" t="s">
        <v>78</v>
      </c>
      <c r="O1002" t="s">
        <v>78</v>
      </c>
      <c r="P1002" t="s">
        <v>78</v>
      </c>
      <c r="Q1002" t="s">
        <v>78</v>
      </c>
      <c r="R1002" t="s">
        <v>78</v>
      </c>
      <c r="S1002" t="s">
        <v>78</v>
      </c>
    </row>
    <row r="1003" spans="1:19" x14ac:dyDescent="0.35">
      <c r="A1003" s="530" t="s">
        <v>172</v>
      </c>
      <c r="B1003" s="530">
        <v>1317280</v>
      </c>
      <c r="C1003" s="530">
        <v>17000</v>
      </c>
      <c r="D1003" s="530" t="s">
        <v>78</v>
      </c>
      <c r="E1003" s="530" t="s">
        <v>421</v>
      </c>
      <c r="F1003" s="530" t="s">
        <v>277</v>
      </c>
      <c r="G1003" s="530" t="s">
        <v>283</v>
      </c>
      <c r="H1003" s="530" t="s">
        <v>78</v>
      </c>
      <c r="I1003" s="530" t="s">
        <v>19</v>
      </c>
      <c r="J1003" s="530" t="s">
        <v>78</v>
      </c>
      <c r="K1003" s="530" t="s">
        <v>78</v>
      </c>
      <c r="L1003" s="530" t="s">
        <v>78</v>
      </c>
      <c r="M1003" s="530" t="s">
        <v>78</v>
      </c>
      <c r="N1003" s="530" t="s">
        <v>78</v>
      </c>
      <c r="O1003" s="530"/>
      <c r="P1003" s="530" t="s">
        <v>78</v>
      </c>
      <c r="Q1003" s="530" t="s">
        <v>78</v>
      </c>
      <c r="R1003" s="530" t="s">
        <v>78</v>
      </c>
      <c r="S1003" s="530" t="s">
        <v>419</v>
      </c>
    </row>
    <row r="1004" spans="1:19" x14ac:dyDescent="0.35">
      <c r="A1004" s="530" t="s">
        <v>172</v>
      </c>
      <c r="B1004" s="530">
        <v>1466960</v>
      </c>
      <c r="C1004" s="530">
        <v>17000</v>
      </c>
      <c r="D1004" s="530" t="s">
        <v>78</v>
      </c>
      <c r="E1004" s="530" t="s">
        <v>344</v>
      </c>
      <c r="F1004" s="530" t="s">
        <v>79</v>
      </c>
      <c r="G1004" s="530" t="s">
        <v>78</v>
      </c>
      <c r="H1004" s="530" t="s">
        <v>78</v>
      </c>
      <c r="I1004" s="530" t="s">
        <v>19</v>
      </c>
      <c r="J1004" s="530" t="s">
        <v>78</v>
      </c>
      <c r="K1004" s="530" t="s">
        <v>78</v>
      </c>
      <c r="L1004" s="530" t="s">
        <v>78</v>
      </c>
      <c r="M1004" s="530" t="s">
        <v>78</v>
      </c>
      <c r="N1004" s="530" t="s">
        <v>78</v>
      </c>
      <c r="O1004" s="530"/>
      <c r="P1004" s="530" t="s">
        <v>78</v>
      </c>
      <c r="Q1004" s="530" t="s">
        <v>78</v>
      </c>
      <c r="R1004" s="530" t="s">
        <v>315</v>
      </c>
      <c r="S1004" s="530" t="s">
        <v>566</v>
      </c>
    </row>
    <row r="1005" spans="1:19" x14ac:dyDescent="0.35">
      <c r="A1005" s="530" t="s">
        <v>172</v>
      </c>
      <c r="B1005" s="530">
        <v>394200</v>
      </c>
      <c r="C1005" s="530">
        <v>17000</v>
      </c>
      <c r="D1005" s="530" t="s">
        <v>78</v>
      </c>
      <c r="E1005" s="530" t="s">
        <v>415</v>
      </c>
      <c r="F1005" s="530" t="s">
        <v>79</v>
      </c>
      <c r="G1005" s="530" t="s">
        <v>78</v>
      </c>
      <c r="H1005" s="530" t="s">
        <v>78</v>
      </c>
      <c r="I1005" s="530" t="s">
        <v>19</v>
      </c>
      <c r="J1005" s="530" t="s">
        <v>78</v>
      </c>
      <c r="K1005" s="530" t="s">
        <v>78</v>
      </c>
      <c r="L1005" s="530" t="s">
        <v>78</v>
      </c>
      <c r="M1005" s="530" t="s">
        <v>78</v>
      </c>
      <c r="N1005" s="530" t="s">
        <v>78</v>
      </c>
      <c r="O1005" s="530"/>
      <c r="P1005" s="530" t="s">
        <v>78</v>
      </c>
      <c r="Q1005" s="530" t="s">
        <v>78</v>
      </c>
      <c r="R1005" s="530" t="s">
        <v>151</v>
      </c>
      <c r="S1005" s="530" t="s">
        <v>418</v>
      </c>
    </row>
    <row r="1006" spans="1:19" x14ac:dyDescent="0.35">
      <c r="A1006" t="s">
        <v>172</v>
      </c>
      <c r="B1006">
        <v>1727680</v>
      </c>
      <c r="C1006">
        <v>17000</v>
      </c>
      <c r="D1006" t="s">
        <v>78</v>
      </c>
      <c r="E1006" t="s">
        <v>439</v>
      </c>
      <c r="F1006" t="s">
        <v>13</v>
      </c>
      <c r="G1006" t="s">
        <v>78</v>
      </c>
      <c r="H1006" t="s">
        <v>78</v>
      </c>
      <c r="I1006" t="s">
        <v>19</v>
      </c>
      <c r="J1006" t="s">
        <v>78</v>
      </c>
      <c r="K1006" t="s">
        <v>78</v>
      </c>
      <c r="L1006" t="s">
        <v>78</v>
      </c>
      <c r="M1006" t="s">
        <v>78</v>
      </c>
      <c r="N1006" t="s">
        <v>78</v>
      </c>
      <c r="P1006" t="s">
        <v>78</v>
      </c>
      <c r="Q1006" t="s">
        <v>78</v>
      </c>
      <c r="R1006" t="s">
        <v>78</v>
      </c>
      <c r="S1006" t="s">
        <v>566</v>
      </c>
    </row>
    <row r="1007" spans="1:19" x14ac:dyDescent="0.35">
      <c r="A1007" t="s">
        <v>172</v>
      </c>
      <c r="B1007">
        <v>705000</v>
      </c>
      <c r="C1007">
        <v>17000</v>
      </c>
      <c r="D1007" t="s">
        <v>78</v>
      </c>
      <c r="E1007" t="s">
        <v>421</v>
      </c>
      <c r="F1007" t="s">
        <v>11</v>
      </c>
      <c r="G1007" t="s">
        <v>283</v>
      </c>
      <c r="H1007" t="s">
        <v>78</v>
      </c>
      <c r="I1007" t="s">
        <v>19</v>
      </c>
      <c r="J1007" t="s">
        <v>78</v>
      </c>
      <c r="K1007" t="s">
        <v>78</v>
      </c>
      <c r="L1007" t="s">
        <v>78</v>
      </c>
      <c r="M1007" t="s">
        <v>78</v>
      </c>
      <c r="N1007" t="s">
        <v>78</v>
      </c>
      <c r="O1007" t="s">
        <v>78</v>
      </c>
      <c r="P1007" t="s">
        <v>78</v>
      </c>
      <c r="Q1007" t="s">
        <v>78</v>
      </c>
      <c r="R1007" t="s">
        <v>78</v>
      </c>
      <c r="S1007" t="s">
        <v>78</v>
      </c>
    </row>
    <row r="1008" spans="1:19" x14ac:dyDescent="0.35">
      <c r="A1008" s="531" t="s">
        <v>173</v>
      </c>
      <c r="B1008" s="531">
        <v>1317280</v>
      </c>
      <c r="C1008" s="531">
        <v>17000</v>
      </c>
      <c r="D1008" s="531" t="s">
        <v>78</v>
      </c>
      <c r="E1008" s="531" t="s">
        <v>439</v>
      </c>
      <c r="F1008" s="531" t="s">
        <v>83</v>
      </c>
      <c r="G1008" s="531" t="s">
        <v>296</v>
      </c>
      <c r="H1008" s="531" t="s">
        <v>78</v>
      </c>
      <c r="I1008" s="531" t="s">
        <v>19</v>
      </c>
      <c r="J1008" s="531" t="s">
        <v>78</v>
      </c>
      <c r="K1008" s="531" t="s">
        <v>78</v>
      </c>
      <c r="L1008" s="531" t="s">
        <v>78</v>
      </c>
      <c r="M1008" s="531" t="s">
        <v>78</v>
      </c>
      <c r="N1008" s="531" t="s">
        <v>78</v>
      </c>
      <c r="O1008" s="531"/>
      <c r="P1008" s="531" t="s">
        <v>78</v>
      </c>
      <c r="Q1008" s="531" t="s">
        <v>78</v>
      </c>
      <c r="R1008" s="531" t="s">
        <v>78</v>
      </c>
      <c r="S1008" s="531" t="s">
        <v>78</v>
      </c>
    </row>
    <row r="1009" spans="1:19" x14ac:dyDescent="0.35">
      <c r="A1009" s="530" t="s">
        <v>173</v>
      </c>
      <c r="B1009" s="530">
        <v>1871520</v>
      </c>
      <c r="C1009" s="530">
        <v>17000</v>
      </c>
      <c r="D1009" s="530" t="s">
        <v>78</v>
      </c>
      <c r="E1009" s="530" t="s">
        <v>415</v>
      </c>
      <c r="F1009" s="530" t="s">
        <v>105</v>
      </c>
      <c r="G1009" s="530" t="s">
        <v>78</v>
      </c>
      <c r="H1009" s="530" t="s">
        <v>78</v>
      </c>
      <c r="I1009" s="530" t="s">
        <v>19</v>
      </c>
      <c r="J1009" s="530" t="s">
        <v>78</v>
      </c>
      <c r="K1009" s="530" t="s">
        <v>78</v>
      </c>
      <c r="L1009" s="530" t="s">
        <v>78</v>
      </c>
      <c r="M1009" s="530" t="s">
        <v>78</v>
      </c>
      <c r="N1009" s="530" t="s">
        <v>78</v>
      </c>
      <c r="O1009" s="530"/>
      <c r="P1009" s="530" t="s">
        <v>78</v>
      </c>
      <c r="Q1009" s="530" t="s">
        <v>78</v>
      </c>
      <c r="R1009" s="530" t="s">
        <v>78</v>
      </c>
      <c r="S1009" s="530" t="s">
        <v>566</v>
      </c>
    </row>
    <row r="1010" spans="1:19" x14ac:dyDescent="0.35">
      <c r="A1010" s="531" t="s">
        <v>173</v>
      </c>
      <c r="B1010" s="531">
        <v>518880</v>
      </c>
      <c r="C1010" s="531">
        <v>17000</v>
      </c>
      <c r="D1010" s="531" t="s">
        <v>78</v>
      </c>
      <c r="E1010" s="531" t="s">
        <v>562</v>
      </c>
      <c r="F1010" s="531" t="s">
        <v>13</v>
      </c>
      <c r="G1010" s="531" t="s">
        <v>78</v>
      </c>
      <c r="H1010" s="531" t="s">
        <v>78</v>
      </c>
      <c r="I1010" s="531" t="s">
        <v>19</v>
      </c>
      <c r="J1010" s="531" t="s">
        <v>78</v>
      </c>
      <c r="K1010" s="531" t="s">
        <v>78</v>
      </c>
      <c r="L1010" s="531" t="s">
        <v>78</v>
      </c>
      <c r="M1010" s="531" t="s">
        <v>78</v>
      </c>
      <c r="N1010" s="531" t="s">
        <v>78</v>
      </c>
      <c r="O1010" s="531"/>
      <c r="P1010" s="531" t="s">
        <v>78</v>
      </c>
      <c r="Q1010" s="531" t="s">
        <v>78</v>
      </c>
      <c r="R1010" s="531" t="s">
        <v>78</v>
      </c>
      <c r="S1010" s="531" t="s">
        <v>78</v>
      </c>
    </row>
    <row r="1011" spans="1:19" x14ac:dyDescent="0.35">
      <c r="A1011" t="s">
        <v>173</v>
      </c>
      <c r="B1011">
        <v>1913000</v>
      </c>
      <c r="C1011">
        <v>17000</v>
      </c>
      <c r="D1011" t="s">
        <v>78</v>
      </c>
      <c r="E1011" t="s">
        <v>344</v>
      </c>
      <c r="F1011" t="s">
        <v>83</v>
      </c>
      <c r="G1011" t="s">
        <v>308</v>
      </c>
      <c r="H1011" t="s">
        <v>78</v>
      </c>
      <c r="I1011" t="s">
        <v>19</v>
      </c>
      <c r="J1011" t="s">
        <v>78</v>
      </c>
      <c r="K1011" t="s">
        <v>78</v>
      </c>
      <c r="L1011" t="s">
        <v>78</v>
      </c>
      <c r="M1011" t="s">
        <v>78</v>
      </c>
      <c r="N1011" t="s">
        <v>78</v>
      </c>
      <c r="P1011" t="s">
        <v>78</v>
      </c>
      <c r="Q1011" t="s">
        <v>78</v>
      </c>
      <c r="R1011" t="s">
        <v>78</v>
      </c>
      <c r="S1011" t="s">
        <v>506</v>
      </c>
    </row>
    <row r="1012" spans="1:19" x14ac:dyDescent="0.35">
      <c r="A1012" t="s">
        <v>173</v>
      </c>
      <c r="B1012">
        <v>1251480</v>
      </c>
      <c r="C1012">
        <v>17000</v>
      </c>
      <c r="D1012" t="s">
        <v>78</v>
      </c>
      <c r="E1012" t="s">
        <v>376</v>
      </c>
      <c r="F1012" t="s">
        <v>13</v>
      </c>
      <c r="G1012" t="s">
        <v>78</v>
      </c>
      <c r="H1012" t="s">
        <v>78</v>
      </c>
      <c r="I1012" t="s">
        <v>19</v>
      </c>
      <c r="J1012" t="s">
        <v>78</v>
      </c>
      <c r="K1012" t="s">
        <v>78</v>
      </c>
      <c r="L1012" t="s">
        <v>78</v>
      </c>
      <c r="M1012" t="s">
        <v>78</v>
      </c>
      <c r="N1012" t="s">
        <v>78</v>
      </c>
      <c r="O1012" t="s">
        <v>78</v>
      </c>
      <c r="P1012" t="s">
        <v>78</v>
      </c>
      <c r="Q1012" t="s">
        <v>78</v>
      </c>
      <c r="R1012" t="s">
        <v>78</v>
      </c>
      <c r="S1012" t="s">
        <v>78</v>
      </c>
    </row>
    <row r="1013" spans="1:19" x14ac:dyDescent="0.35">
      <c r="A1013" s="530" t="s">
        <v>180</v>
      </c>
      <c r="B1013" s="530">
        <v>1632200</v>
      </c>
      <c r="C1013" s="530">
        <v>17000</v>
      </c>
      <c r="D1013" s="530" t="s">
        <v>78</v>
      </c>
      <c r="E1013" s="530" t="s">
        <v>347</v>
      </c>
      <c r="F1013" s="530" t="s">
        <v>11</v>
      </c>
      <c r="G1013" s="530" t="s">
        <v>17</v>
      </c>
      <c r="H1013" s="530" t="s">
        <v>78</v>
      </c>
      <c r="I1013" s="530" t="s">
        <v>19</v>
      </c>
      <c r="J1013" s="530" t="s">
        <v>78</v>
      </c>
      <c r="K1013" s="530" t="s">
        <v>78</v>
      </c>
      <c r="L1013" s="530" t="s">
        <v>78</v>
      </c>
      <c r="M1013" s="530" t="s">
        <v>78</v>
      </c>
      <c r="N1013" s="530" t="s">
        <v>78</v>
      </c>
      <c r="O1013" s="530"/>
      <c r="P1013" s="530" t="s">
        <v>78</v>
      </c>
      <c r="Q1013" s="530" t="s">
        <v>78</v>
      </c>
      <c r="R1013" s="530" t="s">
        <v>78</v>
      </c>
      <c r="S1013" s="530" t="s">
        <v>78</v>
      </c>
    </row>
    <row r="1014" spans="1:19" x14ac:dyDescent="0.35">
      <c r="A1014" s="531" t="s">
        <v>180</v>
      </c>
      <c r="B1014" s="531">
        <v>2142400</v>
      </c>
      <c r="C1014" s="531">
        <v>17000</v>
      </c>
      <c r="D1014" s="531" t="s">
        <v>78</v>
      </c>
      <c r="E1014" s="531" t="s">
        <v>347</v>
      </c>
      <c r="F1014" s="531" t="s">
        <v>11</v>
      </c>
      <c r="G1014" s="531" t="s">
        <v>17</v>
      </c>
      <c r="H1014" s="531" t="s">
        <v>78</v>
      </c>
      <c r="I1014" s="531" t="s">
        <v>19</v>
      </c>
      <c r="J1014" s="531" t="s">
        <v>78</v>
      </c>
      <c r="K1014" s="531" t="s">
        <v>78</v>
      </c>
      <c r="L1014" s="531" t="s">
        <v>78</v>
      </c>
      <c r="M1014" s="531" t="s">
        <v>78</v>
      </c>
      <c r="N1014" s="531" t="s">
        <v>78</v>
      </c>
      <c r="O1014" s="531"/>
      <c r="P1014" s="531" t="s">
        <v>78</v>
      </c>
      <c r="Q1014" s="531" t="s">
        <v>78</v>
      </c>
      <c r="R1014" s="531" t="s">
        <v>78</v>
      </c>
      <c r="S1014" s="531" t="s">
        <v>566</v>
      </c>
    </row>
    <row r="1015" spans="1:19" x14ac:dyDescent="0.35">
      <c r="A1015" s="530" t="s">
        <v>180</v>
      </c>
      <c r="B1015" s="530">
        <v>1536480</v>
      </c>
      <c r="C1015" s="530">
        <v>17000</v>
      </c>
      <c r="D1015" s="530" t="s">
        <v>78</v>
      </c>
      <c r="E1015" s="530" t="s">
        <v>344</v>
      </c>
      <c r="F1015" s="530" t="s">
        <v>79</v>
      </c>
      <c r="G1015" s="530" t="s">
        <v>78</v>
      </c>
      <c r="H1015" s="530" t="s">
        <v>78</v>
      </c>
      <c r="I1015" s="530" t="s">
        <v>19</v>
      </c>
      <c r="J1015" s="530" t="s">
        <v>78</v>
      </c>
      <c r="K1015" s="530" t="s">
        <v>78</v>
      </c>
      <c r="L1015" s="530" t="s">
        <v>78</v>
      </c>
      <c r="M1015" s="530" t="s">
        <v>78</v>
      </c>
      <c r="N1015" s="530" t="s">
        <v>78</v>
      </c>
      <c r="O1015" s="530"/>
      <c r="P1015" s="530" t="s">
        <v>78</v>
      </c>
      <c r="Q1015" s="530" t="s">
        <v>78</v>
      </c>
      <c r="R1015" s="530" t="s">
        <v>151</v>
      </c>
      <c r="S1015" s="530" t="s">
        <v>566</v>
      </c>
    </row>
    <row r="1016" spans="1:19" x14ac:dyDescent="0.35">
      <c r="A1016" t="s">
        <v>180</v>
      </c>
      <c r="B1016">
        <v>110640</v>
      </c>
      <c r="C1016">
        <v>17000</v>
      </c>
      <c r="D1016" t="s">
        <v>78</v>
      </c>
      <c r="E1016" t="s">
        <v>78</v>
      </c>
      <c r="F1016" t="s">
        <v>78</v>
      </c>
      <c r="G1016" t="s">
        <v>78</v>
      </c>
      <c r="H1016" t="s">
        <v>78</v>
      </c>
      <c r="I1016" t="s">
        <v>19</v>
      </c>
      <c r="J1016" t="s">
        <v>78</v>
      </c>
      <c r="K1016" t="s">
        <v>78</v>
      </c>
      <c r="L1016" t="s">
        <v>78</v>
      </c>
      <c r="M1016" t="s">
        <v>78</v>
      </c>
      <c r="N1016" t="s">
        <v>78</v>
      </c>
      <c r="P1016" t="s">
        <v>78</v>
      </c>
      <c r="Q1016" t="s">
        <v>78</v>
      </c>
      <c r="R1016" t="s">
        <v>78</v>
      </c>
      <c r="S1016" t="s">
        <v>78</v>
      </c>
    </row>
    <row r="1017" spans="1:19" x14ac:dyDescent="0.35">
      <c r="A1017" t="s">
        <v>180</v>
      </c>
      <c r="B1017">
        <v>1315000</v>
      </c>
      <c r="C1017">
        <v>17000</v>
      </c>
      <c r="D1017" t="s">
        <v>78</v>
      </c>
      <c r="E1017" t="s">
        <v>420</v>
      </c>
      <c r="F1017" t="s">
        <v>11</v>
      </c>
      <c r="G1017" t="s">
        <v>298</v>
      </c>
      <c r="H1017" t="s">
        <v>78</v>
      </c>
      <c r="I1017" t="s">
        <v>19</v>
      </c>
      <c r="J1017" t="s">
        <v>78</v>
      </c>
      <c r="K1017" t="s">
        <v>78</v>
      </c>
      <c r="L1017" t="s">
        <v>78</v>
      </c>
      <c r="M1017" t="s">
        <v>78</v>
      </c>
      <c r="N1017" t="s">
        <v>78</v>
      </c>
      <c r="O1017" t="s">
        <v>78</v>
      </c>
      <c r="P1017" t="s">
        <v>78</v>
      </c>
      <c r="Q1017" t="s">
        <v>78</v>
      </c>
      <c r="R1017" t="s">
        <v>78</v>
      </c>
      <c r="S1017" t="s">
        <v>418</v>
      </c>
    </row>
    <row r="1018" spans="1:19" x14ac:dyDescent="0.35">
      <c r="A1018" s="531" t="s">
        <v>231</v>
      </c>
      <c r="B1018" s="531">
        <v>434360</v>
      </c>
      <c r="C1018" s="531">
        <v>17000</v>
      </c>
      <c r="D1018" s="531" t="s">
        <v>78</v>
      </c>
      <c r="E1018" s="531" t="s">
        <v>376</v>
      </c>
      <c r="F1018" s="531" t="s">
        <v>79</v>
      </c>
      <c r="G1018" s="531" t="s">
        <v>78</v>
      </c>
      <c r="H1018" s="531" t="s">
        <v>78</v>
      </c>
      <c r="I1018" s="531" t="s">
        <v>19</v>
      </c>
      <c r="J1018" s="531" t="s">
        <v>78</v>
      </c>
      <c r="K1018" s="531" t="s">
        <v>78</v>
      </c>
      <c r="L1018" s="531" t="s">
        <v>78</v>
      </c>
      <c r="M1018" s="531" t="s">
        <v>78</v>
      </c>
      <c r="N1018" s="531" t="s">
        <v>78</v>
      </c>
      <c r="O1018" s="531"/>
      <c r="P1018" s="531" t="s">
        <v>78</v>
      </c>
      <c r="Q1018" s="531" t="s">
        <v>78</v>
      </c>
      <c r="R1018" s="531" t="s">
        <v>315</v>
      </c>
      <c r="S1018" s="531" t="s">
        <v>78</v>
      </c>
    </row>
    <row r="1019" spans="1:19" x14ac:dyDescent="0.35">
      <c r="A1019" s="530" t="s">
        <v>231</v>
      </c>
      <c r="B1019" s="530">
        <v>1707720</v>
      </c>
      <c r="C1019" s="530">
        <v>17000</v>
      </c>
      <c r="D1019" s="530" t="s">
        <v>78</v>
      </c>
      <c r="E1019" s="530" t="s">
        <v>415</v>
      </c>
      <c r="F1019" s="530" t="s">
        <v>79</v>
      </c>
      <c r="G1019" s="530" t="s">
        <v>78</v>
      </c>
      <c r="H1019" s="530" t="s">
        <v>78</v>
      </c>
      <c r="I1019" s="530" t="s">
        <v>19</v>
      </c>
      <c r="J1019" s="530" t="s">
        <v>78</v>
      </c>
      <c r="K1019" s="530" t="s">
        <v>78</v>
      </c>
      <c r="L1019" s="530" t="s">
        <v>78</v>
      </c>
      <c r="M1019" s="530" t="s">
        <v>78</v>
      </c>
      <c r="N1019" s="530" t="s">
        <v>78</v>
      </c>
      <c r="O1019" s="530"/>
      <c r="P1019" s="530" t="s">
        <v>78</v>
      </c>
      <c r="Q1019" s="530" t="s">
        <v>78</v>
      </c>
      <c r="R1019" s="530" t="s">
        <v>259</v>
      </c>
      <c r="S1019" s="530" t="s">
        <v>566</v>
      </c>
    </row>
    <row r="1020" spans="1:19" x14ac:dyDescent="0.35">
      <c r="A1020" t="s">
        <v>231</v>
      </c>
      <c r="B1020">
        <v>739320</v>
      </c>
      <c r="C1020">
        <v>17000</v>
      </c>
      <c r="D1020" t="s">
        <v>78</v>
      </c>
      <c r="E1020" t="s">
        <v>421</v>
      </c>
      <c r="F1020" t="s">
        <v>11</v>
      </c>
      <c r="G1020" t="s">
        <v>283</v>
      </c>
      <c r="H1020" t="s">
        <v>78</v>
      </c>
      <c r="I1020" t="s">
        <v>19</v>
      </c>
      <c r="J1020" t="s">
        <v>78</v>
      </c>
      <c r="K1020" t="s">
        <v>78</v>
      </c>
      <c r="L1020" t="s">
        <v>78</v>
      </c>
      <c r="M1020" t="s">
        <v>78</v>
      </c>
      <c r="N1020" t="s">
        <v>78</v>
      </c>
      <c r="P1020" t="s">
        <v>78</v>
      </c>
      <c r="Q1020" t="s">
        <v>78</v>
      </c>
      <c r="R1020" t="s">
        <v>78</v>
      </c>
      <c r="S1020" t="s">
        <v>566</v>
      </c>
    </row>
    <row r="1021" spans="1:19" x14ac:dyDescent="0.35">
      <c r="A1021" t="s">
        <v>231</v>
      </c>
      <c r="B1021">
        <v>1503720</v>
      </c>
      <c r="C1021">
        <v>17000</v>
      </c>
      <c r="D1021" t="s">
        <v>78</v>
      </c>
      <c r="E1021" t="s">
        <v>421</v>
      </c>
      <c r="F1021" t="s">
        <v>277</v>
      </c>
      <c r="G1021" t="s">
        <v>283</v>
      </c>
      <c r="H1021" t="s">
        <v>78</v>
      </c>
      <c r="I1021" t="s">
        <v>19</v>
      </c>
      <c r="J1021" t="s">
        <v>78</v>
      </c>
      <c r="K1021" t="s">
        <v>78</v>
      </c>
      <c r="L1021" t="s">
        <v>78</v>
      </c>
      <c r="M1021" t="s">
        <v>78</v>
      </c>
      <c r="N1021" t="s">
        <v>78</v>
      </c>
      <c r="O1021" t="s">
        <v>78</v>
      </c>
      <c r="P1021" t="s">
        <v>78</v>
      </c>
      <c r="Q1021" t="s">
        <v>78</v>
      </c>
      <c r="R1021" t="s">
        <v>78</v>
      </c>
      <c r="S1021" t="s">
        <v>78</v>
      </c>
    </row>
    <row r="1022" spans="1:19" x14ac:dyDescent="0.35">
      <c r="A1022" s="530" t="s">
        <v>232</v>
      </c>
      <c r="B1022" s="530">
        <v>78400</v>
      </c>
      <c r="C1022" s="530">
        <v>17000</v>
      </c>
      <c r="D1022" s="530" t="s">
        <v>78</v>
      </c>
      <c r="E1022" s="530" t="s">
        <v>346</v>
      </c>
      <c r="F1022" s="530" t="s">
        <v>79</v>
      </c>
      <c r="G1022" s="530" t="s">
        <v>78</v>
      </c>
      <c r="H1022" s="530" t="s">
        <v>78</v>
      </c>
      <c r="I1022" s="530" t="s">
        <v>19</v>
      </c>
      <c r="J1022" s="530" t="s">
        <v>78</v>
      </c>
      <c r="K1022" s="530" t="s">
        <v>78</v>
      </c>
      <c r="L1022" s="530" t="s">
        <v>78</v>
      </c>
      <c r="M1022" s="530" t="s">
        <v>78</v>
      </c>
      <c r="N1022" s="530" t="s">
        <v>78</v>
      </c>
      <c r="O1022" s="530"/>
      <c r="P1022" s="530" t="s">
        <v>78</v>
      </c>
      <c r="Q1022" s="530" t="s">
        <v>78</v>
      </c>
      <c r="R1022" s="530" t="s">
        <v>507</v>
      </c>
      <c r="S1022" s="530" t="s">
        <v>78</v>
      </c>
    </row>
    <row r="1023" spans="1:19" x14ac:dyDescent="0.35">
      <c r="A1023" s="530" t="s">
        <v>232</v>
      </c>
      <c r="B1023" s="530">
        <v>1998600</v>
      </c>
      <c r="C1023" s="530">
        <v>17000</v>
      </c>
      <c r="D1023" s="530" t="s">
        <v>78</v>
      </c>
      <c r="E1023" s="530" t="s">
        <v>78</v>
      </c>
      <c r="F1023" s="530" t="s">
        <v>13</v>
      </c>
      <c r="G1023" s="530" t="s">
        <v>78</v>
      </c>
      <c r="H1023" s="530" t="s">
        <v>78</v>
      </c>
      <c r="I1023" s="530" t="s">
        <v>19</v>
      </c>
      <c r="J1023" s="530" t="s">
        <v>78</v>
      </c>
      <c r="K1023" s="530" t="s">
        <v>78</v>
      </c>
      <c r="L1023" s="530" t="s">
        <v>78</v>
      </c>
      <c r="M1023" s="530" t="s">
        <v>78</v>
      </c>
      <c r="N1023" s="530" t="s">
        <v>78</v>
      </c>
      <c r="O1023" s="530"/>
      <c r="P1023" s="530" t="s">
        <v>78</v>
      </c>
      <c r="Q1023" s="530" t="s">
        <v>78</v>
      </c>
      <c r="R1023" s="530" t="s">
        <v>78</v>
      </c>
      <c r="S1023" s="530" t="s">
        <v>566</v>
      </c>
    </row>
    <row r="1024" spans="1:19" x14ac:dyDescent="0.35">
      <c r="A1024" t="s">
        <v>232</v>
      </c>
      <c r="B1024">
        <v>791040</v>
      </c>
      <c r="C1024">
        <v>17000</v>
      </c>
      <c r="D1024" t="s">
        <v>78</v>
      </c>
      <c r="E1024" t="s">
        <v>439</v>
      </c>
      <c r="F1024" t="s">
        <v>83</v>
      </c>
      <c r="G1024" t="s">
        <v>301</v>
      </c>
      <c r="H1024" t="s">
        <v>78</v>
      </c>
      <c r="I1024" t="s">
        <v>19</v>
      </c>
      <c r="J1024" t="s">
        <v>78</v>
      </c>
      <c r="K1024" t="s">
        <v>78</v>
      </c>
      <c r="L1024" t="s">
        <v>78</v>
      </c>
      <c r="M1024" t="s">
        <v>78</v>
      </c>
      <c r="N1024" t="s">
        <v>78</v>
      </c>
      <c r="P1024" t="s">
        <v>78</v>
      </c>
      <c r="Q1024" t="s">
        <v>78</v>
      </c>
      <c r="R1024" t="s">
        <v>78</v>
      </c>
      <c r="S1024" t="s">
        <v>506</v>
      </c>
    </row>
    <row r="1025" spans="1:19" x14ac:dyDescent="0.35">
      <c r="A1025" t="s">
        <v>232</v>
      </c>
      <c r="B1025">
        <v>65000</v>
      </c>
      <c r="C1025">
        <v>17000</v>
      </c>
      <c r="D1025" t="s">
        <v>78</v>
      </c>
      <c r="E1025" t="s">
        <v>78</v>
      </c>
      <c r="F1025" t="s">
        <v>78</v>
      </c>
      <c r="G1025" t="s">
        <v>78</v>
      </c>
      <c r="H1025" t="s">
        <v>78</v>
      </c>
      <c r="I1025" t="s">
        <v>19</v>
      </c>
      <c r="J1025" t="s">
        <v>78</v>
      </c>
      <c r="K1025" t="s">
        <v>78</v>
      </c>
      <c r="L1025" t="s">
        <v>78</v>
      </c>
      <c r="M1025" t="s">
        <v>78</v>
      </c>
      <c r="N1025" t="s">
        <v>78</v>
      </c>
      <c r="O1025" t="s">
        <v>78</v>
      </c>
      <c r="P1025" t="s">
        <v>78</v>
      </c>
      <c r="Q1025" t="s">
        <v>78</v>
      </c>
      <c r="R1025" t="s">
        <v>78</v>
      </c>
      <c r="S1025" t="s">
        <v>78</v>
      </c>
    </row>
    <row r="1026" spans="1:19" x14ac:dyDescent="0.35">
      <c r="A1026" s="531" t="s">
        <v>380</v>
      </c>
      <c r="B1026" s="531">
        <v>205360</v>
      </c>
      <c r="C1026" s="531">
        <v>17000</v>
      </c>
      <c r="D1026" s="531" t="s">
        <v>78</v>
      </c>
      <c r="E1026" s="531" t="s">
        <v>346</v>
      </c>
      <c r="F1026" s="531" t="s">
        <v>11</v>
      </c>
      <c r="G1026" s="531" t="s">
        <v>282</v>
      </c>
      <c r="H1026" s="531" t="s">
        <v>78</v>
      </c>
      <c r="I1026" s="531" t="s">
        <v>19</v>
      </c>
      <c r="J1026" s="531" t="s">
        <v>78</v>
      </c>
      <c r="K1026" s="531" t="s">
        <v>78</v>
      </c>
      <c r="L1026" s="531" t="s">
        <v>78</v>
      </c>
      <c r="M1026" s="531" t="s">
        <v>78</v>
      </c>
      <c r="N1026" s="531" t="s">
        <v>78</v>
      </c>
      <c r="O1026" s="531"/>
      <c r="P1026" s="531" t="s">
        <v>78</v>
      </c>
      <c r="Q1026" s="531" t="s">
        <v>78</v>
      </c>
      <c r="R1026" s="531" t="s">
        <v>78</v>
      </c>
      <c r="S1026" s="531" t="s">
        <v>506</v>
      </c>
    </row>
    <row r="1027" spans="1:19" x14ac:dyDescent="0.35">
      <c r="A1027" s="530" t="s">
        <v>380</v>
      </c>
      <c r="B1027" s="530">
        <v>2112160</v>
      </c>
      <c r="C1027" s="530">
        <v>17000</v>
      </c>
      <c r="D1027" s="530" t="s">
        <v>78</v>
      </c>
      <c r="E1027" s="530" t="s">
        <v>344</v>
      </c>
      <c r="F1027" s="530" t="s">
        <v>83</v>
      </c>
      <c r="G1027" s="530" t="s">
        <v>282</v>
      </c>
      <c r="H1027" s="530" t="s">
        <v>78</v>
      </c>
      <c r="I1027" s="530" t="s">
        <v>19</v>
      </c>
      <c r="J1027" s="530" t="s">
        <v>78</v>
      </c>
      <c r="K1027" s="530" t="s">
        <v>78</v>
      </c>
      <c r="L1027" s="530" t="s">
        <v>78</v>
      </c>
      <c r="M1027" s="530" t="s">
        <v>78</v>
      </c>
      <c r="N1027" s="530" t="s">
        <v>78</v>
      </c>
      <c r="O1027" s="530"/>
      <c r="P1027" s="530" t="s">
        <v>78</v>
      </c>
      <c r="Q1027" s="530" t="s">
        <v>78</v>
      </c>
      <c r="R1027" s="530" t="s">
        <v>78</v>
      </c>
      <c r="S1027" s="530" t="s">
        <v>566</v>
      </c>
    </row>
    <row r="1028" spans="1:19" x14ac:dyDescent="0.35">
      <c r="A1028" t="s">
        <v>380</v>
      </c>
      <c r="B1028">
        <v>1044040</v>
      </c>
      <c r="C1028">
        <v>17000</v>
      </c>
      <c r="D1028" t="s">
        <v>78</v>
      </c>
      <c r="E1028" t="s">
        <v>348</v>
      </c>
      <c r="F1028" t="s">
        <v>83</v>
      </c>
      <c r="G1028" t="s">
        <v>17</v>
      </c>
      <c r="H1028" t="s">
        <v>78</v>
      </c>
      <c r="I1028" t="s">
        <v>19</v>
      </c>
      <c r="J1028" t="s">
        <v>78</v>
      </c>
      <c r="K1028" t="s">
        <v>78</v>
      </c>
      <c r="L1028" t="s">
        <v>78</v>
      </c>
      <c r="M1028" t="s">
        <v>78</v>
      </c>
      <c r="N1028" t="s">
        <v>78</v>
      </c>
      <c r="P1028" t="s">
        <v>78</v>
      </c>
      <c r="Q1028" t="s">
        <v>78</v>
      </c>
      <c r="R1028" t="s">
        <v>78</v>
      </c>
      <c r="S1028" t="s">
        <v>419</v>
      </c>
    </row>
    <row r="1029" spans="1:19" x14ac:dyDescent="0.35">
      <c r="A1029" t="s">
        <v>380</v>
      </c>
      <c r="B1029">
        <v>133840</v>
      </c>
      <c r="C1029">
        <v>17000</v>
      </c>
      <c r="D1029" t="s">
        <v>78</v>
      </c>
      <c r="E1029" t="s">
        <v>348</v>
      </c>
      <c r="F1029" t="s">
        <v>11</v>
      </c>
      <c r="G1029" t="s">
        <v>17</v>
      </c>
      <c r="H1029" t="s">
        <v>78</v>
      </c>
      <c r="I1029" t="s">
        <v>19</v>
      </c>
      <c r="J1029" t="s">
        <v>78</v>
      </c>
      <c r="K1029" t="s">
        <v>78</v>
      </c>
      <c r="L1029" t="s">
        <v>78</v>
      </c>
      <c r="M1029" t="s">
        <v>78</v>
      </c>
      <c r="N1029" t="s">
        <v>78</v>
      </c>
      <c r="O1029" t="s">
        <v>78</v>
      </c>
      <c r="P1029" t="s">
        <v>78</v>
      </c>
      <c r="Q1029" t="s">
        <v>78</v>
      </c>
      <c r="R1029" t="s">
        <v>78</v>
      </c>
      <c r="S1029" t="s">
        <v>78</v>
      </c>
    </row>
    <row r="1030" spans="1:19" x14ac:dyDescent="0.35">
      <c r="A1030" s="530" t="s">
        <v>383</v>
      </c>
      <c r="B1030" s="530">
        <v>564760</v>
      </c>
      <c r="C1030" s="530">
        <v>17000</v>
      </c>
      <c r="D1030" s="530" t="s">
        <v>78</v>
      </c>
      <c r="E1030" s="530" t="s">
        <v>347</v>
      </c>
      <c r="F1030" s="530" t="s">
        <v>11</v>
      </c>
      <c r="G1030" s="530" t="s">
        <v>17</v>
      </c>
      <c r="H1030" s="530" t="s">
        <v>78</v>
      </c>
      <c r="I1030" s="530" t="s">
        <v>19</v>
      </c>
      <c r="J1030" s="530" t="s">
        <v>78</v>
      </c>
      <c r="K1030" s="530" t="s">
        <v>78</v>
      </c>
      <c r="L1030" s="530" t="s">
        <v>78</v>
      </c>
      <c r="M1030" s="530" t="s">
        <v>78</v>
      </c>
      <c r="N1030" s="530" t="s">
        <v>78</v>
      </c>
      <c r="O1030" s="530"/>
      <c r="P1030" s="530" t="s">
        <v>78</v>
      </c>
      <c r="Q1030" s="530" t="s">
        <v>78</v>
      </c>
      <c r="R1030" s="530" t="s">
        <v>78</v>
      </c>
      <c r="S1030" s="530" t="s">
        <v>78</v>
      </c>
    </row>
    <row r="1031" spans="1:19" x14ac:dyDescent="0.35">
      <c r="A1031" s="530" t="s">
        <v>383</v>
      </c>
      <c r="B1031" s="530">
        <v>49280</v>
      </c>
      <c r="C1031" s="530">
        <v>17000</v>
      </c>
      <c r="D1031" s="530" t="s">
        <v>78</v>
      </c>
      <c r="E1031" s="530" t="s">
        <v>346</v>
      </c>
      <c r="F1031" s="530" t="s">
        <v>13</v>
      </c>
      <c r="G1031" s="530" t="s">
        <v>78</v>
      </c>
      <c r="H1031" s="530" t="s">
        <v>78</v>
      </c>
      <c r="I1031" s="530" t="s">
        <v>19</v>
      </c>
      <c r="J1031" s="530" t="s">
        <v>78</v>
      </c>
      <c r="K1031" s="530" t="s">
        <v>78</v>
      </c>
      <c r="L1031" s="530" t="s">
        <v>78</v>
      </c>
      <c r="M1031" s="530" t="s">
        <v>78</v>
      </c>
      <c r="N1031" s="530" t="s">
        <v>78</v>
      </c>
      <c r="O1031" s="530"/>
      <c r="P1031" s="530" t="s">
        <v>78</v>
      </c>
      <c r="Q1031" s="530" t="s">
        <v>78</v>
      </c>
      <c r="R1031" s="530" t="s">
        <v>78</v>
      </c>
      <c r="S1031" s="530" t="s">
        <v>506</v>
      </c>
    </row>
    <row r="1032" spans="1:19" x14ac:dyDescent="0.35">
      <c r="A1032" t="s">
        <v>383</v>
      </c>
      <c r="B1032">
        <v>1119680</v>
      </c>
      <c r="C1032">
        <v>17000</v>
      </c>
      <c r="D1032" t="s">
        <v>78</v>
      </c>
      <c r="E1032" t="s">
        <v>415</v>
      </c>
      <c r="F1032" t="s">
        <v>10</v>
      </c>
      <c r="G1032" t="s">
        <v>304</v>
      </c>
      <c r="H1032" t="s">
        <v>78</v>
      </c>
      <c r="I1032" t="s">
        <v>19</v>
      </c>
      <c r="J1032" t="s">
        <v>78</v>
      </c>
      <c r="K1032" t="s">
        <v>78</v>
      </c>
      <c r="L1032" t="s">
        <v>78</v>
      </c>
      <c r="M1032" t="s">
        <v>78</v>
      </c>
      <c r="N1032" t="s">
        <v>78</v>
      </c>
      <c r="P1032" t="s">
        <v>78</v>
      </c>
      <c r="Q1032" t="s">
        <v>78</v>
      </c>
      <c r="R1032" t="s">
        <v>78</v>
      </c>
      <c r="S1032" t="s">
        <v>566</v>
      </c>
    </row>
    <row r="1033" spans="1:19" x14ac:dyDescent="0.35">
      <c r="A1033" t="s">
        <v>383</v>
      </c>
      <c r="B1033">
        <v>189520</v>
      </c>
      <c r="C1033">
        <v>17000</v>
      </c>
      <c r="D1033" t="s">
        <v>78</v>
      </c>
      <c r="E1033" t="s">
        <v>415</v>
      </c>
      <c r="F1033" t="s">
        <v>13</v>
      </c>
      <c r="G1033" t="s">
        <v>78</v>
      </c>
      <c r="H1033" t="s">
        <v>78</v>
      </c>
      <c r="I1033" t="s">
        <v>19</v>
      </c>
      <c r="J1033" t="s">
        <v>78</v>
      </c>
      <c r="K1033" t="s">
        <v>78</v>
      </c>
      <c r="L1033" t="s">
        <v>78</v>
      </c>
      <c r="M1033" t="s">
        <v>78</v>
      </c>
      <c r="N1033" t="s">
        <v>78</v>
      </c>
      <c r="O1033" t="s">
        <v>78</v>
      </c>
      <c r="P1033" t="s">
        <v>78</v>
      </c>
      <c r="Q1033" t="s">
        <v>78</v>
      </c>
      <c r="R1033" t="s">
        <v>78</v>
      </c>
      <c r="S1033" t="s">
        <v>78</v>
      </c>
    </row>
    <row r="1034" spans="1:19" x14ac:dyDescent="0.35">
      <c r="A1034" s="530"/>
      <c r="B1034" s="530"/>
      <c r="C1034" s="530"/>
      <c r="D1034" s="530"/>
      <c r="E1034" s="530"/>
      <c r="F1034" s="530" t="s">
        <v>79</v>
      </c>
      <c r="G1034" s="530"/>
      <c r="H1034" s="530" t="s">
        <v>80</v>
      </c>
      <c r="I1034" s="530"/>
      <c r="J1034" s="530"/>
      <c r="K1034" s="530"/>
      <c r="L1034" s="530"/>
      <c r="M1034" s="530"/>
      <c r="N1034" s="530"/>
      <c r="O1034" s="530"/>
      <c r="P1034" s="530"/>
      <c r="Q1034" s="530"/>
      <c r="R1034" s="530"/>
      <c r="S1034" s="530"/>
    </row>
    <row r="1035" spans="1:19" x14ac:dyDescent="0.35">
      <c r="A1035" s="531"/>
      <c r="B1035" s="531"/>
      <c r="C1035" s="531"/>
      <c r="D1035" s="531"/>
      <c r="E1035" s="531"/>
      <c r="F1035" s="531" t="s">
        <v>79</v>
      </c>
      <c r="G1035" s="531"/>
      <c r="H1035" s="531"/>
      <c r="I1035" s="531"/>
      <c r="J1035" s="531" t="s">
        <v>14</v>
      </c>
      <c r="K1035" s="531"/>
      <c r="L1035" s="531"/>
      <c r="M1035" s="531"/>
      <c r="N1035" s="531"/>
      <c r="O1035" s="531"/>
      <c r="P1035" s="531"/>
      <c r="Q1035" s="531"/>
      <c r="R1035" s="531"/>
      <c r="S1035" s="531"/>
    </row>
    <row r="1036" spans="1:19" x14ac:dyDescent="0.35">
      <c r="A1036" s="81"/>
      <c r="B1036" s="17"/>
      <c r="C1036" s="17"/>
      <c r="D1036" s="17"/>
      <c r="E1036" s="17"/>
      <c r="F1036" s="17"/>
      <c r="G1036" s="17"/>
      <c r="H1036" s="17"/>
      <c r="I1036" s="17"/>
      <c r="J1036" s="17"/>
      <c r="K1036" s="17"/>
      <c r="L1036" s="17"/>
      <c r="M1036" s="17"/>
      <c r="N1036" s="17"/>
      <c r="O1036" s="17"/>
      <c r="P1036" s="17"/>
      <c r="Q1036" s="17"/>
      <c r="R1036" s="18"/>
    </row>
    <row r="1037" spans="1:19" x14ac:dyDescent="0.35">
      <c r="A1037" s="82"/>
      <c r="B1037" s="19"/>
      <c r="C1037" s="19"/>
      <c r="D1037" s="19"/>
      <c r="E1037" s="19"/>
      <c r="F1037" s="19"/>
      <c r="G1037" s="19"/>
      <c r="H1037" s="19"/>
      <c r="I1037" s="19"/>
      <c r="J1037" s="19"/>
      <c r="K1037" s="19"/>
      <c r="L1037" s="19"/>
      <c r="M1037" s="19"/>
      <c r="N1037" s="19"/>
      <c r="O1037" s="19"/>
      <c r="P1037" s="19"/>
      <c r="Q1037" s="19"/>
      <c r="R1037" s="20"/>
    </row>
    <row r="1038" spans="1:19" x14ac:dyDescent="0.35">
      <c r="A1038" s="82"/>
      <c r="B1038" s="19"/>
      <c r="C1038" s="19"/>
      <c r="D1038" s="19"/>
      <c r="E1038" s="19"/>
      <c r="F1038" s="19"/>
      <c r="G1038" s="19"/>
      <c r="H1038" s="19"/>
      <c r="I1038" s="19"/>
      <c r="J1038" s="19"/>
      <c r="K1038" s="19"/>
      <c r="L1038" s="19"/>
      <c r="M1038" s="19"/>
      <c r="N1038" s="19"/>
      <c r="O1038" s="19"/>
      <c r="P1038" s="19"/>
      <c r="Q1038" s="19"/>
      <c r="R1038" s="20"/>
    </row>
    <row r="1039" spans="1:19" x14ac:dyDescent="0.35">
      <c r="A1039" s="82"/>
      <c r="B1039" s="19"/>
      <c r="C1039" s="19"/>
      <c r="D1039" s="19"/>
      <c r="E1039" s="19"/>
      <c r="F1039" s="19"/>
      <c r="G1039" s="19"/>
      <c r="H1039" s="19"/>
      <c r="I1039" s="19"/>
      <c r="J1039" s="19"/>
      <c r="K1039" s="19"/>
      <c r="L1039" s="19"/>
      <c r="M1039" s="19"/>
      <c r="N1039" s="19"/>
      <c r="O1039" s="19"/>
      <c r="P1039" s="19"/>
      <c r="Q1039" s="19"/>
      <c r="R1039" s="20"/>
    </row>
    <row r="1040" spans="1:19" x14ac:dyDescent="0.35">
      <c r="A1040" s="82"/>
      <c r="B1040" s="19"/>
      <c r="C1040" s="19"/>
      <c r="D1040" s="19"/>
      <c r="E1040" s="19"/>
      <c r="F1040" s="19"/>
      <c r="G1040" s="19"/>
      <c r="H1040" s="19"/>
      <c r="I1040" s="19"/>
      <c r="J1040" s="19"/>
      <c r="K1040" s="19"/>
      <c r="L1040" s="19"/>
      <c r="M1040" s="19"/>
      <c r="N1040" s="19"/>
      <c r="O1040" s="19"/>
      <c r="P1040" s="19"/>
      <c r="Q1040" s="19"/>
      <c r="R1040" s="20"/>
    </row>
    <row r="1041" spans="1:19" x14ac:dyDescent="0.35">
      <c r="A1041" s="82"/>
      <c r="B1041" s="19"/>
      <c r="C1041" s="19"/>
      <c r="D1041" s="19"/>
      <c r="E1041" s="19"/>
      <c r="F1041" s="19"/>
      <c r="G1041" s="19"/>
      <c r="H1041" s="19"/>
      <c r="I1041" s="19"/>
      <c r="J1041" s="19"/>
      <c r="K1041" s="19"/>
      <c r="L1041" s="19"/>
      <c r="M1041" s="19"/>
      <c r="N1041" s="19"/>
      <c r="O1041" s="19"/>
      <c r="P1041" s="19"/>
      <c r="Q1041" s="19"/>
      <c r="R1041" s="20"/>
    </row>
    <row r="1042" spans="1:19" x14ac:dyDescent="0.35">
      <c r="A1042" s="82"/>
      <c r="B1042" s="19"/>
      <c r="C1042" s="19"/>
      <c r="D1042" s="19"/>
      <c r="E1042" s="19"/>
      <c r="F1042" s="19"/>
      <c r="G1042" s="19"/>
      <c r="H1042" s="19"/>
      <c r="I1042" s="19"/>
      <c r="J1042" s="19"/>
      <c r="K1042" s="19"/>
      <c r="L1042" s="19"/>
      <c r="M1042" s="19"/>
      <c r="N1042" s="19"/>
      <c r="O1042" s="19"/>
      <c r="P1042" s="19"/>
      <c r="Q1042" s="19"/>
      <c r="R1042" s="20"/>
    </row>
    <row r="1043" spans="1:19" x14ac:dyDescent="0.35">
      <c r="A1043" s="82"/>
      <c r="B1043" s="19"/>
      <c r="C1043" s="19"/>
      <c r="D1043" s="19"/>
      <c r="E1043" s="19"/>
      <c r="F1043" s="19"/>
      <c r="G1043" s="19"/>
      <c r="H1043" s="19"/>
      <c r="I1043" s="19"/>
      <c r="J1043" s="19"/>
      <c r="K1043" s="19"/>
      <c r="L1043" s="19"/>
      <c r="M1043" s="19"/>
      <c r="N1043" s="19"/>
      <c r="O1043" s="19"/>
      <c r="P1043" s="19"/>
      <c r="Q1043" s="19"/>
      <c r="R1043" s="20"/>
      <c r="S1043" s="30"/>
    </row>
    <row r="1044" spans="1:19" x14ac:dyDescent="0.35">
      <c r="A1044" s="82"/>
      <c r="B1044" s="19"/>
      <c r="C1044" s="19"/>
      <c r="D1044" s="19"/>
      <c r="E1044" s="19"/>
      <c r="F1044" s="19"/>
      <c r="G1044" s="19"/>
      <c r="H1044" s="19"/>
      <c r="I1044" s="19"/>
      <c r="J1044" s="19"/>
      <c r="K1044" s="19"/>
      <c r="L1044" s="19"/>
      <c r="M1044" s="19"/>
      <c r="N1044" s="19"/>
      <c r="O1044" s="19"/>
      <c r="P1044" s="19"/>
      <c r="Q1044" s="19"/>
      <c r="R1044" s="20"/>
    </row>
    <row r="1045" spans="1:19" x14ac:dyDescent="0.35">
      <c r="A1045" s="81"/>
      <c r="B1045" s="17"/>
      <c r="C1045" s="17"/>
      <c r="D1045" s="17"/>
      <c r="E1045" s="17"/>
      <c r="F1045" s="17"/>
      <c r="G1045" s="17"/>
      <c r="H1045" s="17"/>
      <c r="I1045" s="17"/>
      <c r="J1045" s="17"/>
      <c r="K1045" s="17"/>
      <c r="L1045" s="17"/>
      <c r="M1045" s="17"/>
      <c r="N1045" s="17"/>
      <c r="O1045" s="17"/>
      <c r="P1045" s="17"/>
      <c r="Q1045" s="17"/>
      <c r="R1045" s="18"/>
    </row>
    <row r="1046" spans="1:19" x14ac:dyDescent="0.35">
      <c r="A1046" s="82"/>
      <c r="B1046" s="19"/>
      <c r="C1046" s="19"/>
      <c r="D1046" s="19"/>
      <c r="E1046" s="19"/>
      <c r="F1046" s="19"/>
      <c r="G1046" s="19"/>
      <c r="H1046" s="19"/>
      <c r="I1046" s="19"/>
      <c r="J1046" s="19"/>
      <c r="K1046" s="19"/>
      <c r="L1046" s="19"/>
      <c r="M1046" s="19"/>
      <c r="N1046" s="19"/>
      <c r="O1046" s="19"/>
      <c r="P1046" s="19"/>
      <c r="Q1046" s="19"/>
      <c r="R1046" s="20"/>
    </row>
    <row r="1047" spans="1:19" x14ac:dyDescent="0.35">
      <c r="A1047" s="81"/>
      <c r="B1047" s="17"/>
      <c r="C1047" s="17"/>
      <c r="D1047" s="17"/>
      <c r="E1047" s="17"/>
      <c r="F1047" s="17"/>
      <c r="G1047" s="17"/>
      <c r="H1047" s="17"/>
      <c r="I1047" s="17"/>
      <c r="J1047" s="17"/>
      <c r="K1047" s="17"/>
      <c r="L1047" s="17"/>
      <c r="M1047" s="17"/>
      <c r="N1047" s="17"/>
      <c r="O1047" s="17"/>
      <c r="P1047" s="17"/>
      <c r="Q1047" s="17"/>
      <c r="R1047" s="18"/>
      <c r="S1047" s="30"/>
    </row>
    <row r="1048" spans="1:19" x14ac:dyDescent="0.35">
      <c r="A1048" s="82"/>
      <c r="B1048" s="19"/>
      <c r="C1048" s="19"/>
      <c r="D1048" s="19"/>
      <c r="E1048" s="19"/>
      <c r="F1048" s="19"/>
      <c r="G1048" s="19"/>
      <c r="H1048" s="19"/>
      <c r="I1048" s="19"/>
      <c r="J1048" s="19"/>
      <c r="K1048" s="19"/>
      <c r="L1048" s="19"/>
      <c r="M1048" s="19"/>
      <c r="N1048" s="19"/>
      <c r="O1048" s="19"/>
      <c r="P1048" s="19"/>
      <c r="Q1048" s="19"/>
      <c r="R1048" s="20"/>
    </row>
    <row r="1049" spans="1:19" x14ac:dyDescent="0.35">
      <c r="A1049" s="81"/>
      <c r="B1049" s="17"/>
      <c r="C1049" s="17"/>
      <c r="D1049" s="17"/>
      <c r="E1049" s="17"/>
      <c r="F1049" s="17"/>
      <c r="G1049" s="17"/>
      <c r="H1049" s="17"/>
      <c r="I1049" s="17"/>
      <c r="J1049" s="17"/>
      <c r="K1049" s="17"/>
      <c r="L1049" s="17"/>
      <c r="M1049" s="17"/>
      <c r="N1049" s="17"/>
      <c r="O1049" s="17"/>
      <c r="P1049" s="17"/>
      <c r="Q1049" s="17"/>
      <c r="R1049" s="18"/>
    </row>
    <row r="1050" spans="1:19" x14ac:dyDescent="0.35">
      <c r="A1050" s="81"/>
      <c r="B1050" s="17"/>
      <c r="C1050" s="17"/>
      <c r="D1050" s="17"/>
      <c r="E1050" s="17"/>
      <c r="F1050" s="17"/>
      <c r="G1050" s="17"/>
      <c r="H1050" s="17"/>
      <c r="I1050" s="17"/>
      <c r="J1050" s="17"/>
      <c r="K1050" s="17"/>
      <c r="L1050" s="19"/>
      <c r="M1050" s="19"/>
      <c r="N1050" s="19"/>
      <c r="O1050" s="17"/>
      <c r="P1050" s="17"/>
      <c r="Q1050" s="17"/>
      <c r="R1050" s="18"/>
      <c r="S1050" s="30"/>
    </row>
    <row r="1051" spans="1:19" x14ac:dyDescent="0.35">
      <c r="A1051" s="82"/>
      <c r="B1051" s="19"/>
      <c r="C1051" s="19"/>
      <c r="D1051" s="19"/>
      <c r="E1051" s="19"/>
      <c r="F1051" s="19"/>
      <c r="G1051" s="19"/>
      <c r="H1051" s="19"/>
      <c r="I1051" s="19"/>
      <c r="J1051" s="19"/>
      <c r="K1051" s="19"/>
      <c r="L1051" s="19"/>
      <c r="M1051" s="19"/>
      <c r="N1051" s="19"/>
      <c r="O1051" s="19"/>
      <c r="P1051" s="19"/>
      <c r="Q1051" s="19"/>
      <c r="R1051" s="20"/>
    </row>
    <row r="1052" spans="1:19" x14ac:dyDescent="0.35">
      <c r="A1052" s="82"/>
      <c r="B1052" s="19"/>
      <c r="C1052" s="19"/>
      <c r="D1052" s="19"/>
      <c r="E1052" s="19"/>
      <c r="F1052" s="19"/>
      <c r="G1052" s="19"/>
      <c r="H1052" s="19"/>
      <c r="I1052" s="19"/>
      <c r="J1052" s="19"/>
      <c r="K1052" s="19"/>
      <c r="L1052" s="19"/>
      <c r="M1052" s="19"/>
      <c r="N1052" s="19"/>
      <c r="O1052" s="19"/>
      <c r="P1052" s="19"/>
      <c r="Q1052" s="19"/>
      <c r="R1052" s="20"/>
    </row>
    <row r="1053" spans="1:19" x14ac:dyDescent="0.35">
      <c r="A1053" s="81"/>
      <c r="B1053" s="17"/>
      <c r="C1053" s="17"/>
      <c r="D1053" s="17"/>
      <c r="E1053" s="17"/>
      <c r="F1053" s="17"/>
      <c r="G1053" s="17"/>
      <c r="H1053" s="17"/>
      <c r="I1053" s="17"/>
      <c r="J1053" s="17"/>
      <c r="K1053" s="17"/>
      <c r="L1053" s="17"/>
      <c r="M1053" s="17"/>
      <c r="N1053" s="17"/>
      <c r="O1053" s="17"/>
      <c r="P1053" s="17"/>
      <c r="Q1053" s="17"/>
      <c r="R1053" s="18"/>
    </row>
    <row r="1054" spans="1:19" x14ac:dyDescent="0.35">
      <c r="A1054" s="81"/>
      <c r="B1054" s="17"/>
      <c r="C1054" s="17"/>
      <c r="D1054" s="17"/>
      <c r="E1054" s="17"/>
      <c r="F1054" s="17"/>
      <c r="G1054" s="17"/>
      <c r="H1054" s="17"/>
      <c r="I1054" s="17"/>
      <c r="J1054" s="17"/>
      <c r="K1054" s="17"/>
      <c r="L1054" s="17"/>
      <c r="M1054" s="17"/>
      <c r="N1054" s="17"/>
      <c r="O1054" s="17"/>
      <c r="P1054" s="17"/>
      <c r="Q1054" s="17"/>
      <c r="R1054" s="18"/>
    </row>
    <row r="1055" spans="1:19" x14ac:dyDescent="0.35">
      <c r="A1055" s="82"/>
      <c r="B1055" s="19"/>
      <c r="C1055" s="19"/>
      <c r="D1055" s="19"/>
      <c r="E1055" s="19"/>
      <c r="F1055" s="19"/>
      <c r="G1055" s="19"/>
      <c r="H1055" s="19"/>
      <c r="I1055" s="19"/>
      <c r="J1055" s="19"/>
      <c r="K1055" s="19"/>
      <c r="L1055" s="19"/>
      <c r="M1055" s="19"/>
      <c r="N1055" s="19"/>
      <c r="O1055" s="19"/>
      <c r="P1055" s="19"/>
      <c r="Q1055" s="19"/>
      <c r="R1055" s="20"/>
    </row>
    <row r="1056" spans="1:19" x14ac:dyDescent="0.35">
      <c r="A1056" s="82"/>
      <c r="B1056" s="19"/>
      <c r="C1056" s="19"/>
      <c r="D1056" s="19"/>
      <c r="E1056" s="19"/>
      <c r="F1056" s="19"/>
      <c r="G1056" s="19"/>
      <c r="H1056" s="19"/>
      <c r="I1056" s="19"/>
      <c r="J1056" s="19"/>
      <c r="K1056" s="19"/>
      <c r="L1056" s="19"/>
      <c r="M1056" s="19"/>
      <c r="N1056" s="19"/>
      <c r="O1056" s="19"/>
      <c r="P1056" s="19"/>
      <c r="Q1056" s="19"/>
      <c r="R1056" s="20"/>
    </row>
    <row r="1057" spans="1:19" x14ac:dyDescent="0.35">
      <c r="A1057" s="82"/>
      <c r="B1057" s="19"/>
      <c r="C1057" s="19"/>
      <c r="D1057" s="19"/>
      <c r="E1057" s="19"/>
      <c r="F1057" s="19"/>
      <c r="G1057" s="19"/>
      <c r="H1057" s="19"/>
      <c r="I1057" s="19"/>
      <c r="J1057" s="19"/>
      <c r="K1057" s="19"/>
      <c r="L1057" s="19"/>
      <c r="M1057" s="19"/>
      <c r="N1057" s="19"/>
      <c r="O1057" s="19"/>
      <c r="P1057" s="19"/>
      <c r="Q1057" s="19"/>
      <c r="R1057" s="20"/>
    </row>
    <row r="1058" spans="1:19" x14ac:dyDescent="0.35">
      <c r="A1058" s="82"/>
      <c r="B1058" s="19"/>
      <c r="C1058" s="19"/>
      <c r="D1058" s="19"/>
      <c r="E1058" s="19"/>
      <c r="F1058" s="19"/>
      <c r="G1058" s="19"/>
      <c r="H1058" s="19"/>
      <c r="I1058" s="19"/>
      <c r="J1058" s="19"/>
      <c r="K1058" s="19"/>
      <c r="L1058" s="19"/>
      <c r="M1058" s="19"/>
      <c r="N1058" s="19"/>
      <c r="O1058" s="19"/>
      <c r="P1058" s="19"/>
      <c r="Q1058" s="19"/>
      <c r="R1058" s="20"/>
    </row>
    <row r="1059" spans="1:19" x14ac:dyDescent="0.35">
      <c r="A1059" s="82"/>
      <c r="B1059" s="19"/>
      <c r="C1059" s="19"/>
      <c r="D1059" s="19"/>
      <c r="E1059" s="19"/>
      <c r="F1059" s="19"/>
      <c r="G1059" s="19"/>
      <c r="H1059" s="19"/>
      <c r="I1059" s="19"/>
      <c r="J1059" s="19"/>
      <c r="K1059" s="19"/>
      <c r="L1059" s="19"/>
      <c r="M1059" s="19"/>
      <c r="N1059" s="19"/>
      <c r="O1059" s="19"/>
      <c r="P1059" s="19"/>
      <c r="Q1059" s="19"/>
      <c r="R1059" s="20"/>
    </row>
    <row r="1060" spans="1:19" x14ac:dyDescent="0.35">
      <c r="A1060" s="82"/>
      <c r="B1060" s="19"/>
      <c r="C1060" s="19"/>
      <c r="D1060" s="19"/>
      <c r="E1060" s="19"/>
      <c r="F1060" s="19"/>
      <c r="G1060" s="19"/>
      <c r="H1060" s="19"/>
      <c r="I1060" s="19"/>
      <c r="J1060" s="19"/>
      <c r="K1060" s="19"/>
      <c r="L1060" s="19"/>
      <c r="M1060" s="19"/>
      <c r="N1060" s="19"/>
      <c r="O1060" s="19"/>
      <c r="P1060" s="19"/>
      <c r="Q1060" s="19"/>
      <c r="R1060" s="20"/>
    </row>
    <row r="1061" spans="1:19" x14ac:dyDescent="0.35">
      <c r="A1061" s="81"/>
      <c r="B1061" s="17"/>
      <c r="C1061" s="17"/>
      <c r="D1061" s="17"/>
      <c r="E1061" s="17"/>
      <c r="F1061" s="17"/>
      <c r="G1061" s="17"/>
      <c r="H1061" s="17"/>
      <c r="I1061" s="17"/>
      <c r="J1061" s="17"/>
      <c r="K1061" s="17"/>
      <c r="L1061" s="17"/>
      <c r="M1061" s="17"/>
      <c r="N1061" s="17"/>
      <c r="O1061" s="17"/>
      <c r="P1061" s="17"/>
      <c r="Q1061" s="17"/>
      <c r="R1061" s="18"/>
      <c r="S1061" s="30"/>
    </row>
    <row r="1062" spans="1:19" x14ac:dyDescent="0.35">
      <c r="A1062" s="81"/>
      <c r="B1062" s="17"/>
      <c r="C1062" s="17"/>
      <c r="D1062" s="17"/>
      <c r="E1062" s="17"/>
      <c r="F1062" s="17"/>
      <c r="G1062" s="17"/>
      <c r="H1062" s="17"/>
      <c r="I1062" s="17"/>
      <c r="J1062" s="17"/>
      <c r="K1062" s="17"/>
      <c r="L1062" s="17"/>
      <c r="M1062" s="17"/>
      <c r="N1062" s="17"/>
      <c r="O1062" s="17"/>
      <c r="P1062" s="17"/>
      <c r="Q1062" s="17"/>
      <c r="R1062" s="18"/>
      <c r="S1062" s="30"/>
    </row>
    <row r="1063" spans="1:19" x14ac:dyDescent="0.35">
      <c r="A1063" s="82"/>
      <c r="B1063" s="19"/>
      <c r="C1063" s="19"/>
      <c r="D1063" s="19"/>
      <c r="E1063" s="19"/>
      <c r="F1063" s="19"/>
      <c r="G1063" s="19"/>
      <c r="H1063" s="19"/>
      <c r="I1063" s="19"/>
      <c r="J1063" s="19"/>
      <c r="K1063" s="19"/>
      <c r="L1063" s="19"/>
      <c r="M1063" s="19"/>
      <c r="N1063" s="19"/>
      <c r="O1063" s="19"/>
      <c r="P1063" s="19"/>
      <c r="Q1063" s="19"/>
      <c r="R1063" s="20"/>
    </row>
    <row r="1064" spans="1:19" x14ac:dyDescent="0.35">
      <c r="A1064" s="82"/>
      <c r="B1064" s="19"/>
      <c r="C1064" s="19"/>
      <c r="D1064" s="19"/>
      <c r="E1064" s="19"/>
      <c r="F1064" s="19"/>
      <c r="G1064" s="19"/>
      <c r="H1064" s="19"/>
      <c r="I1064" s="19"/>
      <c r="J1064" s="19"/>
      <c r="K1064" s="19"/>
      <c r="L1064" s="19"/>
      <c r="M1064" s="19"/>
      <c r="N1064" s="19"/>
      <c r="O1064" s="19"/>
      <c r="P1064" s="19"/>
      <c r="Q1064" s="19"/>
      <c r="R1064" s="20"/>
    </row>
    <row r="1065" spans="1:19" x14ac:dyDescent="0.35">
      <c r="A1065" s="82"/>
      <c r="B1065" s="19"/>
      <c r="C1065" s="19"/>
      <c r="D1065" s="19"/>
      <c r="E1065" s="19"/>
      <c r="F1065" s="19"/>
      <c r="G1065" s="19"/>
      <c r="H1065" s="19"/>
      <c r="I1065" s="19"/>
      <c r="J1065" s="19"/>
      <c r="K1065" s="19"/>
      <c r="L1065" s="19"/>
      <c r="M1065" s="19"/>
      <c r="N1065" s="19"/>
      <c r="O1065" s="19"/>
      <c r="P1065" s="19"/>
      <c r="Q1065" s="19"/>
      <c r="R1065" s="20"/>
    </row>
    <row r="1066" spans="1:19" x14ac:dyDescent="0.35">
      <c r="A1066" s="81"/>
      <c r="B1066" s="17"/>
      <c r="C1066" s="17"/>
      <c r="D1066" s="17"/>
      <c r="E1066" s="17"/>
      <c r="F1066" s="17"/>
      <c r="G1066" s="17"/>
      <c r="H1066" s="17"/>
      <c r="I1066" s="17"/>
      <c r="J1066" s="17"/>
      <c r="K1066" s="17"/>
      <c r="L1066" s="17"/>
      <c r="M1066" s="17"/>
      <c r="N1066" s="17"/>
      <c r="O1066" s="17"/>
      <c r="P1066" s="17"/>
      <c r="Q1066" s="17"/>
      <c r="R1066" s="18"/>
    </row>
    <row r="1067" spans="1:19" x14ac:dyDescent="0.35">
      <c r="A1067" s="82"/>
      <c r="B1067" s="19"/>
      <c r="C1067" s="19"/>
      <c r="D1067" s="19"/>
      <c r="E1067" s="19"/>
      <c r="F1067" s="19"/>
      <c r="G1067" s="19"/>
      <c r="H1067" s="19"/>
      <c r="I1067" s="19"/>
      <c r="J1067" s="19"/>
      <c r="K1067" s="19"/>
      <c r="L1067" s="19"/>
      <c r="M1067" s="19"/>
      <c r="N1067" s="19"/>
      <c r="O1067" s="19"/>
      <c r="P1067" s="19"/>
      <c r="Q1067" s="19"/>
      <c r="R1067" s="20"/>
    </row>
    <row r="1068" spans="1:19" x14ac:dyDescent="0.35">
      <c r="A1068" s="82"/>
      <c r="B1068" s="19"/>
      <c r="C1068" s="19"/>
      <c r="D1068" s="19"/>
      <c r="E1068" s="19"/>
      <c r="F1068" s="19"/>
      <c r="G1068" s="19"/>
      <c r="H1068" s="19"/>
      <c r="I1068" s="19"/>
      <c r="J1068" s="19"/>
      <c r="K1068" s="19"/>
      <c r="L1068" s="19"/>
      <c r="M1068" s="19"/>
      <c r="N1068" s="19"/>
      <c r="O1068" s="19"/>
      <c r="P1068" s="19"/>
      <c r="Q1068" s="19"/>
      <c r="R1068" s="20"/>
    </row>
    <row r="1069" spans="1:19" x14ac:dyDescent="0.35">
      <c r="A1069" s="82"/>
      <c r="B1069" s="19"/>
      <c r="C1069" s="19"/>
      <c r="D1069" s="19"/>
      <c r="E1069" s="19"/>
      <c r="F1069" s="19"/>
      <c r="G1069" s="19"/>
      <c r="H1069" s="19"/>
      <c r="I1069" s="19"/>
      <c r="J1069" s="19"/>
      <c r="K1069" s="19"/>
      <c r="L1069" s="19"/>
      <c r="M1069" s="19"/>
      <c r="N1069" s="19"/>
      <c r="O1069" s="19"/>
      <c r="P1069" s="19"/>
      <c r="Q1069" s="19"/>
      <c r="R1069" s="20"/>
    </row>
    <row r="1070" spans="1:19" x14ac:dyDescent="0.35">
      <c r="A1070" s="82"/>
      <c r="B1070" s="19"/>
      <c r="C1070" s="19"/>
      <c r="D1070" s="19"/>
      <c r="E1070" s="19"/>
      <c r="F1070" s="19"/>
      <c r="G1070" s="19"/>
      <c r="H1070" s="19"/>
      <c r="I1070" s="19"/>
      <c r="J1070" s="19"/>
      <c r="K1070" s="19"/>
      <c r="L1070" s="19"/>
      <c r="M1070" s="19"/>
      <c r="N1070" s="19"/>
      <c r="O1070" s="19"/>
      <c r="P1070" s="19"/>
      <c r="Q1070" s="19"/>
      <c r="R1070" s="20"/>
    </row>
    <row r="1071" spans="1:19" x14ac:dyDescent="0.35">
      <c r="A1071" s="82"/>
      <c r="B1071" s="19"/>
      <c r="C1071" s="19"/>
      <c r="D1071" s="19"/>
      <c r="E1071" s="19"/>
      <c r="F1071" s="19"/>
      <c r="G1071" s="19"/>
      <c r="H1071" s="19"/>
      <c r="I1071" s="19"/>
      <c r="J1071" s="19"/>
      <c r="K1071" s="19"/>
      <c r="L1071" s="19"/>
      <c r="M1071" s="19"/>
      <c r="N1071" s="19"/>
      <c r="O1071" s="19"/>
      <c r="P1071" s="19"/>
      <c r="Q1071" s="19"/>
      <c r="R1071" s="20"/>
    </row>
    <row r="1072" spans="1:19" x14ac:dyDescent="0.35">
      <c r="A1072" s="82"/>
      <c r="B1072" s="19"/>
      <c r="C1072" s="19"/>
      <c r="D1072" s="19"/>
      <c r="E1072" s="19"/>
      <c r="F1072" s="19"/>
      <c r="G1072" s="19"/>
      <c r="H1072" s="19"/>
      <c r="I1072" s="19"/>
      <c r="J1072" s="19"/>
      <c r="K1072" s="19"/>
      <c r="L1072" s="19"/>
      <c r="M1072" s="19"/>
      <c r="N1072" s="19"/>
      <c r="O1072" s="19"/>
      <c r="P1072" s="19"/>
      <c r="Q1072" s="19"/>
      <c r="R1072" s="20"/>
    </row>
    <row r="1073" spans="1:19" x14ac:dyDescent="0.35">
      <c r="A1073" s="82"/>
      <c r="B1073" s="19"/>
      <c r="C1073" s="19"/>
      <c r="D1073" s="19"/>
      <c r="E1073" s="19"/>
      <c r="F1073" s="19"/>
      <c r="G1073" s="19"/>
      <c r="H1073" s="19"/>
      <c r="I1073" s="19"/>
      <c r="J1073" s="19"/>
      <c r="K1073" s="19"/>
      <c r="L1073" s="19"/>
      <c r="M1073" s="19"/>
      <c r="N1073" s="19"/>
      <c r="O1073" s="19"/>
      <c r="P1073" s="19"/>
      <c r="Q1073" s="19"/>
      <c r="R1073" s="20"/>
      <c r="S1073" s="30"/>
    </row>
    <row r="1074" spans="1:19" x14ac:dyDescent="0.35">
      <c r="A1074" s="81"/>
      <c r="B1074" s="17"/>
      <c r="C1074" s="17"/>
      <c r="D1074" s="17"/>
      <c r="E1074" s="17"/>
      <c r="F1074" s="17"/>
      <c r="G1074" s="17"/>
      <c r="H1074" s="17"/>
      <c r="I1074" s="17"/>
      <c r="J1074" s="17"/>
      <c r="K1074" s="17"/>
      <c r="L1074" s="17"/>
      <c r="M1074" s="17"/>
      <c r="N1074" s="17"/>
      <c r="O1074" s="17"/>
      <c r="P1074" s="17"/>
      <c r="Q1074" s="17"/>
      <c r="R1074" s="18"/>
    </row>
    <row r="1075" spans="1:19" x14ac:dyDescent="0.35">
      <c r="A1075" s="82"/>
      <c r="B1075" s="19"/>
      <c r="C1075" s="19"/>
      <c r="D1075" s="19"/>
      <c r="E1075" s="19"/>
      <c r="F1075" s="19"/>
      <c r="G1075" s="19"/>
      <c r="H1075" s="19"/>
      <c r="I1075" s="19"/>
      <c r="J1075" s="19"/>
      <c r="K1075" s="19"/>
      <c r="L1075" s="19"/>
      <c r="M1075" s="19"/>
      <c r="N1075" s="19"/>
      <c r="O1075" s="19"/>
      <c r="P1075" s="19"/>
      <c r="Q1075" s="19"/>
      <c r="R1075" s="20"/>
    </row>
    <row r="1076" spans="1:19" x14ac:dyDescent="0.35">
      <c r="A1076" s="81"/>
      <c r="B1076" s="17"/>
      <c r="C1076" s="17"/>
      <c r="D1076" s="17"/>
      <c r="E1076" s="17"/>
      <c r="F1076" s="17"/>
      <c r="G1076" s="17"/>
      <c r="H1076" s="17"/>
      <c r="I1076" s="17"/>
      <c r="J1076" s="17"/>
      <c r="K1076" s="17"/>
      <c r="L1076" s="17"/>
      <c r="M1076" s="17"/>
      <c r="N1076" s="17"/>
      <c r="O1076" s="17"/>
      <c r="P1076" s="17"/>
      <c r="Q1076" s="17"/>
      <c r="R1076" s="18"/>
      <c r="S1076" s="30"/>
    </row>
    <row r="1077" spans="1:19" x14ac:dyDescent="0.35">
      <c r="A1077" s="81"/>
      <c r="B1077" s="17"/>
      <c r="C1077" s="17"/>
      <c r="D1077" s="17"/>
      <c r="E1077" s="17"/>
      <c r="F1077" s="17"/>
      <c r="G1077" s="17"/>
      <c r="H1077" s="17"/>
      <c r="I1077" s="17"/>
      <c r="J1077" s="17"/>
      <c r="K1077" s="17"/>
      <c r="L1077" s="17"/>
      <c r="M1077" s="17"/>
      <c r="N1077" s="17"/>
      <c r="O1077" s="17"/>
      <c r="P1077" s="17"/>
      <c r="Q1077" s="17"/>
      <c r="R1077" s="18"/>
      <c r="S1077" s="30"/>
    </row>
    <row r="1078" spans="1:19" x14ac:dyDescent="0.35">
      <c r="A1078" s="82"/>
      <c r="B1078" s="19"/>
      <c r="C1078" s="19"/>
      <c r="D1078" s="19"/>
      <c r="E1078" s="19"/>
      <c r="F1078" s="19"/>
      <c r="G1078" s="19"/>
      <c r="H1078" s="19"/>
      <c r="I1078" s="19"/>
      <c r="J1078" s="19"/>
      <c r="K1078" s="19"/>
      <c r="L1078" s="19"/>
      <c r="M1078" s="19"/>
      <c r="N1078" s="19"/>
      <c r="O1078" s="19"/>
      <c r="P1078" s="19"/>
      <c r="Q1078" s="19"/>
      <c r="R1078" s="20"/>
    </row>
    <row r="1079" spans="1:19" x14ac:dyDescent="0.35">
      <c r="A1079" s="81"/>
      <c r="B1079" s="17"/>
      <c r="C1079" s="17"/>
      <c r="D1079" s="17"/>
      <c r="E1079" s="17"/>
      <c r="F1079" s="17"/>
      <c r="G1079" s="17"/>
      <c r="H1079" s="17"/>
      <c r="I1079" s="17"/>
      <c r="J1079" s="17"/>
      <c r="K1079" s="17"/>
      <c r="L1079" s="17"/>
      <c r="M1079" s="17"/>
      <c r="N1079" s="17"/>
      <c r="O1079" s="17"/>
      <c r="P1079" s="17"/>
      <c r="Q1079" s="17"/>
      <c r="R1079" s="18"/>
    </row>
    <row r="1080" spans="1:19" x14ac:dyDescent="0.35">
      <c r="A1080" s="81"/>
      <c r="B1080" s="17"/>
      <c r="C1080" s="17"/>
      <c r="D1080" s="17"/>
      <c r="E1080" s="17"/>
      <c r="F1080" s="17"/>
      <c r="G1080" s="17"/>
      <c r="H1080" s="17"/>
      <c r="I1080" s="17"/>
      <c r="J1080" s="17"/>
      <c r="K1080" s="17"/>
      <c r="L1080" s="19"/>
      <c r="M1080" s="19"/>
      <c r="N1080" s="19"/>
      <c r="O1080" s="17"/>
      <c r="P1080" s="17"/>
      <c r="Q1080" s="17"/>
      <c r="R1080" s="18"/>
    </row>
    <row r="1081" spans="1:19" x14ac:dyDescent="0.35">
      <c r="A1081" s="82"/>
      <c r="B1081" s="19"/>
      <c r="C1081" s="19"/>
      <c r="D1081" s="19"/>
      <c r="E1081" s="19"/>
      <c r="F1081" s="19"/>
      <c r="G1081" s="19"/>
      <c r="H1081" s="19"/>
      <c r="I1081" s="19"/>
      <c r="J1081" s="19"/>
      <c r="K1081" s="19"/>
      <c r="L1081" s="19"/>
      <c r="M1081" s="19"/>
      <c r="N1081" s="19"/>
      <c r="O1081" s="19"/>
      <c r="P1081" s="19"/>
      <c r="Q1081" s="19"/>
      <c r="R1081" s="20"/>
    </row>
    <row r="1082" spans="1:19" x14ac:dyDescent="0.35">
      <c r="A1082" s="81"/>
      <c r="B1082" s="17"/>
      <c r="C1082" s="17"/>
      <c r="D1082" s="17"/>
      <c r="E1082" s="17"/>
      <c r="F1082" s="17"/>
      <c r="G1082" s="17"/>
      <c r="H1082" s="17"/>
      <c r="I1082" s="17"/>
      <c r="J1082" s="17"/>
      <c r="K1082" s="17"/>
      <c r="L1082" s="17"/>
      <c r="M1082" s="17"/>
      <c r="N1082" s="17"/>
      <c r="O1082" s="17"/>
      <c r="P1082" s="17"/>
      <c r="Q1082" s="17"/>
      <c r="R1082" s="18"/>
      <c r="S1082" s="30"/>
    </row>
    <row r="1083" spans="1:19" x14ac:dyDescent="0.35">
      <c r="A1083" s="81"/>
      <c r="B1083" s="17"/>
      <c r="C1083" s="17"/>
      <c r="D1083" s="17"/>
      <c r="E1083" s="17"/>
      <c r="F1083" s="17"/>
      <c r="G1083" s="17"/>
      <c r="H1083" s="17"/>
      <c r="I1083" s="17"/>
      <c r="J1083" s="17"/>
      <c r="K1083" s="17"/>
      <c r="L1083" s="17"/>
      <c r="M1083" s="17"/>
      <c r="N1083" s="17"/>
      <c r="O1083" s="17"/>
      <c r="P1083" s="17"/>
      <c r="Q1083" s="17"/>
      <c r="R1083" s="18"/>
    </row>
    <row r="1084" spans="1:19" x14ac:dyDescent="0.35">
      <c r="A1084" s="81"/>
      <c r="B1084" s="17"/>
      <c r="C1084" s="17"/>
      <c r="D1084" s="17"/>
      <c r="E1084" s="17"/>
      <c r="F1084" s="17"/>
      <c r="G1084" s="17"/>
      <c r="H1084" s="17"/>
      <c r="I1084" s="17"/>
      <c r="J1084" s="17"/>
      <c r="K1084" s="17"/>
      <c r="L1084" s="17"/>
      <c r="M1084" s="17"/>
      <c r="N1084" s="17"/>
      <c r="O1084" s="17"/>
      <c r="P1084" s="17"/>
      <c r="Q1084" s="17"/>
      <c r="R1084" s="18"/>
    </row>
    <row r="1085" spans="1:19" x14ac:dyDescent="0.35">
      <c r="A1085" s="82"/>
      <c r="B1085" s="19"/>
      <c r="C1085" s="19"/>
      <c r="D1085" s="19"/>
      <c r="E1085" s="19"/>
      <c r="F1085" s="19"/>
      <c r="G1085" s="19"/>
      <c r="H1085" s="19"/>
      <c r="I1085" s="19"/>
      <c r="J1085" s="19"/>
      <c r="K1085" s="19"/>
      <c r="L1085" s="19"/>
      <c r="M1085" s="19"/>
      <c r="N1085" s="19"/>
      <c r="O1085" s="19"/>
      <c r="P1085" s="19"/>
      <c r="Q1085" s="19"/>
      <c r="R1085" s="20"/>
    </row>
    <row r="1086" spans="1:19" x14ac:dyDescent="0.35">
      <c r="A1086" s="82"/>
      <c r="B1086" s="19"/>
      <c r="C1086" s="19"/>
      <c r="D1086" s="19"/>
      <c r="E1086" s="19"/>
      <c r="F1086" s="19"/>
      <c r="G1086" s="19"/>
      <c r="H1086" s="19"/>
      <c r="I1086" s="19"/>
      <c r="J1086" s="19"/>
      <c r="K1086" s="19"/>
      <c r="L1086" s="19"/>
      <c r="M1086" s="19"/>
      <c r="N1086" s="19"/>
      <c r="O1086" s="19"/>
      <c r="P1086" s="19"/>
      <c r="Q1086" s="19"/>
      <c r="R1086" s="20"/>
    </row>
    <row r="1087" spans="1:19" x14ac:dyDescent="0.35">
      <c r="A1087" s="82"/>
      <c r="B1087" s="19"/>
      <c r="C1087" s="19"/>
      <c r="D1087" s="19"/>
      <c r="E1087" s="19"/>
      <c r="F1087" s="19"/>
      <c r="G1087" s="19"/>
      <c r="H1087" s="19"/>
      <c r="I1087" s="19"/>
      <c r="J1087" s="19"/>
      <c r="K1087" s="19"/>
      <c r="L1087" s="19"/>
      <c r="M1087" s="19"/>
      <c r="N1087" s="19"/>
      <c r="O1087" s="19"/>
      <c r="P1087" s="19"/>
      <c r="Q1087" s="19"/>
      <c r="R1087" s="20"/>
    </row>
    <row r="1088" spans="1:19" x14ac:dyDescent="0.35">
      <c r="A1088" s="82"/>
      <c r="B1088" s="19"/>
      <c r="C1088" s="19"/>
      <c r="D1088" s="19"/>
      <c r="E1088" s="19"/>
      <c r="F1088" s="19"/>
      <c r="G1088" s="19"/>
      <c r="H1088" s="19"/>
      <c r="I1088" s="19"/>
      <c r="J1088" s="19"/>
      <c r="K1088" s="19"/>
      <c r="L1088" s="19"/>
      <c r="M1088" s="19"/>
      <c r="N1088" s="19"/>
      <c r="O1088" s="19"/>
      <c r="P1088" s="19"/>
      <c r="Q1088" s="19"/>
      <c r="R1088" s="20"/>
    </row>
    <row r="1089" spans="1:19" x14ac:dyDescent="0.35">
      <c r="A1089" s="81"/>
      <c r="B1089" s="17"/>
      <c r="C1089" s="17"/>
      <c r="D1089" s="17"/>
      <c r="E1089" s="17"/>
      <c r="F1089" s="17"/>
      <c r="G1089" s="17"/>
      <c r="H1089" s="17"/>
      <c r="I1089" s="17"/>
      <c r="J1089" s="17"/>
      <c r="K1089" s="17"/>
      <c r="L1089" s="17"/>
      <c r="M1089" s="17"/>
      <c r="N1089" s="17"/>
      <c r="O1089" s="17"/>
      <c r="P1089" s="17"/>
      <c r="Q1089" s="17"/>
      <c r="R1089" s="18"/>
    </row>
    <row r="1090" spans="1:19" x14ac:dyDescent="0.35">
      <c r="A1090" s="82"/>
      <c r="B1090" s="19"/>
      <c r="C1090" s="19"/>
      <c r="D1090" s="19"/>
      <c r="E1090" s="19"/>
      <c r="F1090" s="19"/>
      <c r="G1090" s="19"/>
      <c r="H1090" s="19"/>
      <c r="I1090" s="19"/>
      <c r="J1090" s="19"/>
      <c r="K1090" s="19"/>
      <c r="L1090" s="19"/>
      <c r="M1090" s="19"/>
      <c r="N1090" s="19"/>
      <c r="O1090" s="19"/>
      <c r="P1090" s="19"/>
      <c r="Q1090" s="19"/>
      <c r="R1090" s="20"/>
    </row>
    <row r="1091" spans="1:19" x14ac:dyDescent="0.35">
      <c r="A1091" s="82"/>
      <c r="B1091" s="19"/>
      <c r="C1091" s="19"/>
      <c r="D1091" s="19"/>
      <c r="E1091" s="19"/>
      <c r="F1091" s="19"/>
      <c r="G1091" s="19"/>
      <c r="H1091" s="19"/>
      <c r="I1091" s="19"/>
      <c r="J1091" s="19"/>
      <c r="K1091" s="19"/>
      <c r="L1091" s="19"/>
      <c r="M1091" s="19"/>
      <c r="N1091" s="19"/>
      <c r="O1091" s="19"/>
      <c r="P1091" s="19"/>
      <c r="Q1091" s="19"/>
      <c r="R1091" s="20"/>
    </row>
    <row r="1092" spans="1:19" x14ac:dyDescent="0.35">
      <c r="A1092" s="82"/>
      <c r="B1092" s="19"/>
      <c r="C1092" s="19"/>
      <c r="D1092" s="19"/>
      <c r="E1092" s="19"/>
      <c r="F1092" s="19"/>
      <c r="G1092" s="19"/>
      <c r="H1092" s="19"/>
      <c r="I1092" s="19"/>
      <c r="J1092" s="19"/>
      <c r="K1092" s="19"/>
      <c r="L1092" s="19"/>
      <c r="M1092" s="19"/>
      <c r="N1092" s="19"/>
      <c r="O1092" s="19"/>
      <c r="P1092" s="19"/>
      <c r="Q1092" s="19"/>
      <c r="R1092" s="20"/>
    </row>
    <row r="1093" spans="1:19" x14ac:dyDescent="0.35">
      <c r="A1093" s="82"/>
      <c r="B1093" s="19"/>
      <c r="C1093" s="19"/>
      <c r="D1093" s="19"/>
      <c r="E1093" s="19"/>
      <c r="F1093" s="19"/>
      <c r="G1093" s="19"/>
      <c r="H1093" s="19"/>
      <c r="I1093" s="19"/>
      <c r="J1093" s="19"/>
      <c r="K1093" s="19"/>
      <c r="L1093" s="19"/>
      <c r="M1093" s="19"/>
      <c r="N1093" s="19"/>
      <c r="O1093" s="19"/>
      <c r="P1093" s="19"/>
      <c r="Q1093" s="19"/>
      <c r="R1093" s="20"/>
    </row>
    <row r="1094" spans="1:19" x14ac:dyDescent="0.35">
      <c r="A1094" s="81"/>
      <c r="B1094" s="17"/>
      <c r="C1094" s="17"/>
      <c r="D1094" s="17"/>
      <c r="E1094" s="17"/>
      <c r="F1094" s="17"/>
      <c r="G1094" s="17"/>
      <c r="H1094" s="17"/>
      <c r="I1094" s="17"/>
      <c r="J1094" s="17"/>
      <c r="K1094" s="17"/>
      <c r="L1094" s="17"/>
      <c r="M1094" s="17"/>
      <c r="N1094" s="17"/>
      <c r="O1094" s="17"/>
      <c r="P1094" s="17"/>
      <c r="Q1094" s="17"/>
      <c r="R1094" s="18"/>
      <c r="S1094" s="30"/>
    </row>
    <row r="1095" spans="1:19" x14ac:dyDescent="0.35">
      <c r="A1095" s="81"/>
      <c r="B1095" s="17"/>
      <c r="C1095" s="17"/>
      <c r="D1095" s="17"/>
      <c r="E1095" s="17"/>
      <c r="F1095" s="17"/>
      <c r="G1095" s="17"/>
      <c r="H1095" s="17"/>
      <c r="I1095" s="17"/>
      <c r="J1095" s="17"/>
      <c r="K1095" s="17"/>
      <c r="L1095" s="19"/>
      <c r="M1095" s="19"/>
      <c r="N1095" s="19"/>
      <c r="O1095" s="17"/>
      <c r="P1095" s="17"/>
      <c r="Q1095" s="17"/>
      <c r="R1095" s="18"/>
    </row>
    <row r="1096" spans="1:19" x14ac:dyDescent="0.35">
      <c r="A1096" s="81"/>
      <c r="B1096" s="17"/>
      <c r="C1096" s="17"/>
      <c r="D1096" s="17"/>
      <c r="E1096" s="17"/>
      <c r="F1096" s="17"/>
      <c r="G1096" s="17"/>
      <c r="H1096" s="17"/>
      <c r="I1096" s="17"/>
      <c r="J1096" s="17"/>
      <c r="K1096" s="17"/>
      <c r="L1096" s="17"/>
      <c r="M1096" s="17"/>
      <c r="N1096" s="17"/>
      <c r="O1096" s="17"/>
      <c r="P1096" s="17"/>
      <c r="Q1096" s="17"/>
      <c r="R1096" s="18"/>
      <c r="S1096" s="30"/>
    </row>
    <row r="1097" spans="1:19" x14ac:dyDescent="0.35">
      <c r="A1097" s="82"/>
      <c r="B1097" s="19"/>
      <c r="C1097" s="19"/>
      <c r="D1097" s="19"/>
      <c r="E1097" s="19"/>
      <c r="F1097" s="19"/>
      <c r="G1097" s="19"/>
      <c r="H1097" s="19"/>
      <c r="I1097" s="19"/>
      <c r="J1097" s="19"/>
      <c r="K1097" s="19"/>
      <c r="L1097" s="19"/>
      <c r="M1097" s="19"/>
      <c r="N1097" s="19"/>
      <c r="O1097" s="19"/>
      <c r="P1097" s="19"/>
      <c r="Q1097" s="19"/>
      <c r="R1097" s="20"/>
    </row>
    <row r="1098" spans="1:19" x14ac:dyDescent="0.35">
      <c r="A1098" s="82"/>
      <c r="B1098" s="19"/>
      <c r="C1098" s="19"/>
      <c r="D1098" s="19"/>
      <c r="E1098" s="19"/>
      <c r="F1098" s="19"/>
      <c r="G1098" s="19"/>
      <c r="H1098" s="19"/>
      <c r="I1098" s="19"/>
      <c r="J1098" s="19"/>
      <c r="K1098" s="19"/>
      <c r="L1098" s="19"/>
      <c r="M1098" s="19"/>
      <c r="N1098" s="19"/>
      <c r="O1098" s="19"/>
      <c r="P1098" s="19"/>
      <c r="Q1098" s="19"/>
      <c r="R1098" s="20"/>
      <c r="S1098" s="20"/>
    </row>
    <row r="1099" spans="1:19" x14ac:dyDescent="0.35">
      <c r="A1099" s="81"/>
      <c r="B1099" s="17"/>
      <c r="C1099" s="17"/>
      <c r="D1099" s="17"/>
      <c r="E1099" s="17"/>
      <c r="F1099" s="17"/>
      <c r="G1099" s="17"/>
      <c r="H1099" s="17"/>
      <c r="I1099" s="17"/>
      <c r="J1099" s="17"/>
      <c r="K1099" s="17"/>
      <c r="L1099" s="17"/>
      <c r="M1099" s="17"/>
      <c r="N1099" s="17"/>
      <c r="O1099" s="17"/>
      <c r="P1099" s="17"/>
      <c r="Q1099" s="17"/>
      <c r="R1099" s="18"/>
      <c r="S1099" s="18"/>
    </row>
    <row r="1100" spans="1:19" x14ac:dyDescent="0.35">
      <c r="A1100" s="82"/>
      <c r="B1100" s="19"/>
      <c r="C1100" s="19"/>
      <c r="D1100" s="19"/>
      <c r="E1100" s="19"/>
      <c r="F1100" s="19"/>
      <c r="G1100" s="19"/>
      <c r="H1100" s="19"/>
      <c r="I1100" s="19"/>
      <c r="J1100" s="19"/>
      <c r="K1100" s="19"/>
      <c r="L1100" s="19"/>
      <c r="M1100" s="19"/>
      <c r="N1100" s="19"/>
      <c r="O1100" s="19"/>
      <c r="P1100" s="19"/>
      <c r="Q1100" s="19"/>
      <c r="R1100" s="20"/>
      <c r="S1100" s="20"/>
    </row>
    <row r="1101" spans="1:19" x14ac:dyDescent="0.35">
      <c r="A1101" s="82"/>
      <c r="B1101" s="19"/>
      <c r="C1101" s="19"/>
      <c r="D1101" s="19"/>
      <c r="E1101" s="19"/>
      <c r="F1101" s="19"/>
      <c r="G1101" s="19"/>
      <c r="H1101" s="19"/>
      <c r="I1101" s="19"/>
      <c r="J1101" s="19"/>
      <c r="K1101" s="19"/>
      <c r="L1101" s="19"/>
      <c r="M1101" s="19"/>
      <c r="N1101" s="19"/>
      <c r="O1101" s="19"/>
      <c r="P1101" s="19"/>
      <c r="Q1101" s="19"/>
      <c r="R1101" s="20"/>
      <c r="S1101" s="20"/>
    </row>
    <row r="1102" spans="1:19" x14ac:dyDescent="0.35">
      <c r="A1102" s="82"/>
      <c r="B1102" s="19"/>
      <c r="C1102" s="19"/>
      <c r="D1102" s="19"/>
      <c r="E1102" s="19"/>
      <c r="F1102" s="19"/>
      <c r="G1102" s="19"/>
      <c r="H1102" s="19"/>
      <c r="I1102" s="19"/>
      <c r="J1102" s="19"/>
      <c r="K1102" s="19"/>
      <c r="L1102" s="19"/>
      <c r="M1102" s="19"/>
      <c r="N1102" s="19"/>
      <c r="O1102" s="19"/>
      <c r="P1102" s="19"/>
      <c r="Q1102" s="19"/>
      <c r="R1102" s="20"/>
      <c r="S1102" s="20"/>
    </row>
    <row r="1103" spans="1:19" x14ac:dyDescent="0.35">
      <c r="A1103" s="82"/>
      <c r="B1103" s="19"/>
      <c r="C1103" s="19"/>
      <c r="D1103" s="19"/>
      <c r="E1103" s="19"/>
      <c r="F1103" s="19"/>
      <c r="G1103" s="19"/>
      <c r="H1103" s="19"/>
      <c r="I1103" s="19"/>
      <c r="J1103" s="19"/>
      <c r="K1103" s="19"/>
      <c r="L1103" s="19"/>
      <c r="M1103" s="19"/>
      <c r="N1103" s="19"/>
      <c r="O1103" s="19"/>
      <c r="P1103" s="19"/>
      <c r="Q1103" s="19"/>
      <c r="R1103" s="20"/>
      <c r="S1103" s="18"/>
    </row>
    <row r="1104" spans="1:19" x14ac:dyDescent="0.35">
      <c r="A1104" s="82"/>
      <c r="B1104" s="19"/>
      <c r="C1104" s="19"/>
      <c r="D1104" s="19"/>
      <c r="E1104" s="19"/>
      <c r="F1104" s="19"/>
      <c r="G1104" s="19"/>
      <c r="H1104" s="19"/>
      <c r="I1104" s="19"/>
      <c r="J1104" s="19"/>
      <c r="K1104" s="19"/>
      <c r="L1104" s="19"/>
      <c r="M1104" s="19"/>
      <c r="N1104" s="19"/>
      <c r="O1104" s="19"/>
      <c r="P1104" s="19"/>
      <c r="Q1104" s="19"/>
      <c r="R1104" s="20"/>
      <c r="S1104" s="20"/>
    </row>
    <row r="1105" spans="1:19" x14ac:dyDescent="0.35">
      <c r="A1105" s="82"/>
      <c r="B1105" s="19"/>
      <c r="C1105" s="19"/>
      <c r="D1105" s="19"/>
      <c r="E1105" s="19"/>
      <c r="F1105" s="19"/>
      <c r="G1105" s="19"/>
      <c r="H1105" s="19"/>
      <c r="I1105" s="19"/>
      <c r="J1105" s="19"/>
      <c r="K1105" s="19"/>
      <c r="L1105" s="19"/>
      <c r="M1105" s="19"/>
      <c r="N1105" s="19"/>
      <c r="O1105" s="19"/>
      <c r="P1105" s="19"/>
      <c r="Q1105" s="19"/>
      <c r="R1105" s="20"/>
      <c r="S1105" s="20"/>
    </row>
    <row r="1106" spans="1:19" x14ac:dyDescent="0.35">
      <c r="A1106" s="81"/>
      <c r="B1106" s="17"/>
      <c r="C1106" s="17"/>
      <c r="D1106" s="17"/>
      <c r="E1106" s="17"/>
      <c r="F1106" s="17"/>
      <c r="G1106" s="17"/>
      <c r="H1106" s="17"/>
      <c r="I1106" s="17"/>
      <c r="J1106" s="17"/>
      <c r="K1106" s="17"/>
      <c r="L1106" s="17"/>
      <c r="M1106" s="17"/>
      <c r="N1106" s="17"/>
      <c r="O1106" s="17"/>
      <c r="P1106" s="17"/>
      <c r="Q1106" s="17"/>
      <c r="R1106" s="18"/>
      <c r="S1106" s="18"/>
    </row>
    <row r="1107" spans="1:19" x14ac:dyDescent="0.35">
      <c r="A1107" s="81"/>
      <c r="B1107" s="17"/>
      <c r="C1107" s="17"/>
      <c r="D1107" s="17"/>
      <c r="E1107" s="17"/>
      <c r="F1107" s="17"/>
      <c r="G1107" s="17"/>
      <c r="H1107" s="17"/>
      <c r="I1107" s="17"/>
      <c r="J1107" s="17"/>
      <c r="K1107" s="17"/>
      <c r="L1107" s="17"/>
      <c r="M1107" s="17"/>
      <c r="N1107" s="17"/>
      <c r="O1107" s="17"/>
      <c r="P1107" s="17"/>
      <c r="Q1107" s="17"/>
      <c r="R1107" s="18"/>
      <c r="S1107" s="20"/>
    </row>
    <row r="1108" spans="1:19" x14ac:dyDescent="0.35">
      <c r="A1108" s="82"/>
      <c r="B1108" s="19"/>
      <c r="C1108" s="19"/>
      <c r="D1108" s="19"/>
      <c r="E1108" s="19"/>
      <c r="F1108" s="19"/>
      <c r="G1108" s="19"/>
      <c r="H1108" s="19"/>
      <c r="I1108" s="19"/>
      <c r="J1108" s="19"/>
      <c r="K1108" s="19"/>
      <c r="L1108" s="19"/>
      <c r="M1108" s="19"/>
      <c r="N1108" s="19"/>
      <c r="O1108" s="19"/>
      <c r="P1108" s="19"/>
      <c r="Q1108" s="19"/>
      <c r="R1108" s="20"/>
      <c r="S1108" s="20"/>
    </row>
    <row r="1109" spans="1:19" x14ac:dyDescent="0.35">
      <c r="A1109" s="81"/>
      <c r="B1109" s="17"/>
      <c r="C1109" s="17"/>
      <c r="D1109" s="17"/>
      <c r="E1109" s="17"/>
      <c r="F1109" s="17"/>
      <c r="G1109" s="17"/>
      <c r="H1109" s="17"/>
      <c r="I1109" s="17"/>
      <c r="J1109" s="17"/>
      <c r="K1109" s="17"/>
      <c r="L1109" s="17"/>
      <c r="M1109" s="17"/>
      <c r="N1109" s="17"/>
      <c r="O1109" s="17"/>
      <c r="P1109" s="17"/>
      <c r="Q1109" s="17"/>
      <c r="R1109" s="18"/>
      <c r="S1109" s="20"/>
    </row>
    <row r="1110" spans="1:19" x14ac:dyDescent="0.35">
      <c r="A1110" s="81"/>
      <c r="B1110" s="17"/>
      <c r="C1110" s="17"/>
      <c r="D1110" s="17"/>
      <c r="E1110" s="17"/>
      <c r="F1110" s="17"/>
      <c r="G1110" s="17"/>
      <c r="H1110" s="17"/>
      <c r="I1110" s="17"/>
      <c r="J1110" s="17"/>
      <c r="K1110" s="17"/>
      <c r="L1110" s="17"/>
      <c r="M1110" s="17"/>
      <c r="N1110" s="17"/>
      <c r="O1110" s="17"/>
      <c r="P1110" s="17"/>
      <c r="Q1110" s="17"/>
      <c r="R1110" s="18"/>
      <c r="S1110" s="20"/>
    </row>
    <row r="1111" spans="1:19" x14ac:dyDescent="0.35">
      <c r="A1111" s="82"/>
      <c r="B1111" s="19"/>
      <c r="C1111" s="19"/>
      <c r="D1111" s="19"/>
      <c r="E1111" s="19"/>
      <c r="F1111" s="19"/>
      <c r="G1111" s="19"/>
      <c r="H1111" s="19"/>
      <c r="I1111" s="19"/>
      <c r="J1111" s="19"/>
      <c r="K1111" s="19"/>
      <c r="L1111" s="19"/>
      <c r="M1111" s="19"/>
      <c r="N1111" s="19"/>
      <c r="O1111" s="19"/>
      <c r="P1111" s="19"/>
      <c r="Q1111" s="19"/>
      <c r="R1111" s="20"/>
      <c r="S1111" s="20"/>
    </row>
    <row r="1112" spans="1:19" x14ac:dyDescent="0.35">
      <c r="A1112" s="81"/>
      <c r="B1112" s="17"/>
      <c r="C1112" s="17"/>
      <c r="D1112" s="17"/>
      <c r="E1112" s="17"/>
      <c r="F1112" s="17"/>
      <c r="G1112" s="17"/>
      <c r="H1112" s="17"/>
      <c r="I1112" s="17"/>
      <c r="J1112" s="17"/>
      <c r="K1112" s="17"/>
      <c r="L1112" s="17"/>
      <c r="M1112" s="17"/>
      <c r="N1112" s="17"/>
      <c r="O1112" s="17"/>
      <c r="P1112" s="17"/>
      <c r="Q1112" s="17"/>
      <c r="R1112" s="18"/>
      <c r="S1112" s="20"/>
    </row>
    <row r="1113" spans="1:19" x14ac:dyDescent="0.35">
      <c r="A1113" s="82"/>
      <c r="B1113" s="19"/>
      <c r="C1113" s="19"/>
      <c r="D1113" s="19"/>
      <c r="E1113" s="19"/>
      <c r="F1113" s="19"/>
      <c r="G1113" s="19"/>
      <c r="H1113" s="19"/>
      <c r="I1113" s="19"/>
      <c r="J1113" s="19"/>
      <c r="K1113" s="19"/>
      <c r="L1113" s="19"/>
      <c r="M1113" s="19"/>
      <c r="N1113" s="19"/>
      <c r="O1113" s="19"/>
      <c r="P1113" s="19"/>
      <c r="Q1113" s="19"/>
      <c r="R1113" s="20"/>
      <c r="S1113" s="20"/>
    </row>
    <row r="1114" spans="1:19" x14ac:dyDescent="0.35">
      <c r="A1114" s="82"/>
      <c r="B1114" s="19"/>
      <c r="C1114" s="19"/>
      <c r="D1114" s="19"/>
      <c r="E1114" s="19"/>
      <c r="F1114" s="19"/>
      <c r="G1114" s="19"/>
      <c r="H1114" s="19"/>
      <c r="I1114" s="19"/>
      <c r="J1114" s="19"/>
      <c r="K1114" s="19"/>
      <c r="L1114" s="19"/>
      <c r="M1114" s="19"/>
      <c r="N1114" s="19"/>
      <c r="O1114" s="19"/>
      <c r="P1114" s="19"/>
      <c r="Q1114" s="19"/>
      <c r="R1114" s="20"/>
      <c r="S1114" s="20"/>
    </row>
    <row r="1115" spans="1:19" x14ac:dyDescent="0.35">
      <c r="A1115" s="81"/>
      <c r="B1115" s="17"/>
      <c r="C1115" s="17"/>
      <c r="D1115" s="17"/>
      <c r="E1115" s="17"/>
      <c r="F1115" s="17"/>
      <c r="G1115" s="17"/>
      <c r="H1115" s="17"/>
      <c r="I1115" s="17"/>
      <c r="J1115" s="17"/>
      <c r="K1115" s="17"/>
      <c r="L1115" s="17"/>
      <c r="M1115" s="17"/>
      <c r="N1115" s="17"/>
      <c r="O1115" s="17"/>
      <c r="P1115" s="17"/>
      <c r="Q1115" s="17"/>
      <c r="R1115" s="18"/>
      <c r="S1115" s="20"/>
    </row>
    <row r="1116" spans="1:19" x14ac:dyDescent="0.35">
      <c r="A1116" s="82"/>
      <c r="B1116" s="19"/>
      <c r="C1116" s="19"/>
      <c r="D1116" s="19"/>
      <c r="E1116" s="19"/>
      <c r="F1116" s="19"/>
      <c r="G1116" s="19"/>
      <c r="H1116" s="19"/>
      <c r="I1116" s="19"/>
      <c r="J1116" s="19"/>
      <c r="K1116" s="19"/>
      <c r="L1116" s="19"/>
      <c r="M1116" s="19"/>
      <c r="N1116" s="19"/>
      <c r="O1116" s="19"/>
      <c r="P1116" s="19"/>
      <c r="Q1116" s="19"/>
      <c r="R1116" s="20"/>
      <c r="S1116" s="20"/>
    </row>
    <row r="1117" spans="1:19" x14ac:dyDescent="0.35">
      <c r="A1117" s="81"/>
      <c r="B1117" s="17"/>
      <c r="C1117" s="17"/>
      <c r="D1117" s="17"/>
      <c r="E1117" s="17"/>
      <c r="F1117" s="17"/>
      <c r="G1117" s="17"/>
      <c r="H1117" s="17"/>
      <c r="I1117" s="17"/>
      <c r="J1117" s="17"/>
      <c r="K1117" s="17"/>
      <c r="L1117" s="17"/>
      <c r="M1117" s="17"/>
      <c r="N1117" s="17"/>
      <c r="O1117" s="17"/>
      <c r="P1117" s="17"/>
      <c r="Q1117" s="17"/>
      <c r="R1117" s="18"/>
      <c r="S1117" s="20"/>
    </row>
    <row r="1118" spans="1:19" x14ac:dyDescent="0.35">
      <c r="A1118" s="82"/>
      <c r="B1118" s="19"/>
      <c r="C1118" s="19"/>
      <c r="D1118" s="19"/>
      <c r="E1118" s="19"/>
      <c r="F1118" s="19"/>
      <c r="G1118" s="19"/>
      <c r="H1118" s="19"/>
      <c r="I1118" s="19"/>
      <c r="J1118" s="19"/>
      <c r="K1118" s="19"/>
      <c r="L1118" s="19"/>
      <c r="M1118" s="19"/>
      <c r="N1118" s="19"/>
      <c r="O1118" s="19"/>
      <c r="P1118" s="19"/>
      <c r="Q1118" s="19"/>
      <c r="R1118" s="20"/>
      <c r="S1118" s="20"/>
    </row>
    <row r="1119" spans="1:19" x14ac:dyDescent="0.35">
      <c r="A1119" s="81"/>
      <c r="B1119" s="17"/>
      <c r="C1119" s="17"/>
      <c r="D1119" s="17"/>
      <c r="E1119" s="17"/>
      <c r="F1119" s="17"/>
      <c r="G1119" s="17"/>
      <c r="H1119" s="17"/>
      <c r="I1119" s="17"/>
      <c r="J1119" s="17"/>
      <c r="K1119" s="17"/>
      <c r="L1119" s="17"/>
      <c r="M1119" s="17"/>
      <c r="N1119" s="17"/>
      <c r="O1119" s="17"/>
      <c r="P1119" s="17"/>
      <c r="Q1119" s="17"/>
      <c r="R1119" s="18"/>
      <c r="S1119" s="20"/>
    </row>
    <row r="1120" spans="1:19" x14ac:dyDescent="0.35">
      <c r="A1120" s="82"/>
      <c r="B1120" s="19"/>
      <c r="C1120" s="19"/>
      <c r="D1120" s="19"/>
      <c r="E1120" s="19"/>
      <c r="F1120" s="19"/>
      <c r="G1120" s="19"/>
      <c r="H1120" s="19"/>
      <c r="I1120" s="19"/>
      <c r="J1120" s="19"/>
      <c r="K1120" s="19"/>
      <c r="L1120" s="19"/>
      <c r="M1120" s="19"/>
      <c r="N1120" s="19"/>
      <c r="O1120" s="19"/>
      <c r="P1120" s="19"/>
      <c r="Q1120" s="19"/>
      <c r="R1120" s="20"/>
      <c r="S1120" s="20"/>
    </row>
    <row r="1121" spans="1:19" x14ac:dyDescent="0.35">
      <c r="A1121" s="82"/>
      <c r="B1121" s="19"/>
      <c r="C1121" s="19"/>
      <c r="D1121" s="19"/>
      <c r="E1121" s="19"/>
      <c r="F1121" s="19"/>
      <c r="G1121" s="19"/>
      <c r="H1121" s="19"/>
      <c r="I1121" s="19"/>
      <c r="J1121" s="19"/>
      <c r="K1121" s="19"/>
      <c r="L1121" s="19"/>
      <c r="M1121" s="19"/>
      <c r="N1121" s="19"/>
      <c r="O1121" s="19"/>
      <c r="P1121" s="19"/>
      <c r="Q1121" s="19"/>
      <c r="R1121" s="20"/>
      <c r="S1121" s="20"/>
    </row>
    <row r="1122" spans="1:19" x14ac:dyDescent="0.35">
      <c r="A1122" s="82"/>
      <c r="B1122" s="19"/>
      <c r="C1122" s="19"/>
      <c r="D1122" s="19"/>
      <c r="E1122" s="19"/>
      <c r="F1122" s="19"/>
      <c r="G1122" s="19"/>
      <c r="H1122" s="19"/>
      <c r="I1122" s="19"/>
      <c r="J1122" s="19"/>
      <c r="K1122" s="19"/>
      <c r="L1122" s="19"/>
      <c r="M1122" s="19"/>
      <c r="N1122" s="19"/>
      <c r="O1122" s="19"/>
      <c r="P1122" s="19"/>
      <c r="Q1122" s="19"/>
      <c r="R1122" s="20"/>
      <c r="S1122" s="20"/>
    </row>
    <row r="1123" spans="1:19" x14ac:dyDescent="0.35">
      <c r="A1123" s="82"/>
      <c r="B1123" s="19"/>
      <c r="C1123" s="19"/>
      <c r="D1123" s="19"/>
      <c r="E1123" s="19"/>
      <c r="F1123" s="19"/>
      <c r="G1123" s="19"/>
      <c r="H1123" s="19"/>
      <c r="I1123" s="19"/>
      <c r="J1123" s="19"/>
      <c r="K1123" s="19"/>
      <c r="L1123" s="19"/>
      <c r="M1123" s="19"/>
      <c r="N1123" s="19"/>
      <c r="O1123" s="19"/>
      <c r="P1123" s="19"/>
      <c r="Q1123" s="19"/>
      <c r="R1123" s="20"/>
      <c r="S1123" s="20"/>
    </row>
    <row r="1124" spans="1:19" x14ac:dyDescent="0.35">
      <c r="A1124" s="82"/>
      <c r="B1124" s="19"/>
      <c r="C1124" s="19"/>
      <c r="D1124" s="19"/>
      <c r="E1124" s="19"/>
      <c r="F1124" s="19"/>
      <c r="G1124" s="19"/>
      <c r="H1124" s="19"/>
      <c r="I1124" s="19"/>
      <c r="J1124" s="19"/>
      <c r="K1124" s="19"/>
      <c r="L1124" s="19"/>
      <c r="M1124" s="19"/>
      <c r="N1124" s="19"/>
      <c r="O1124" s="19"/>
      <c r="P1124" s="19"/>
      <c r="Q1124" s="19"/>
      <c r="R1124" s="20"/>
      <c r="S1124" s="20"/>
    </row>
    <row r="1125" spans="1:19" x14ac:dyDescent="0.35">
      <c r="A1125" s="82"/>
      <c r="B1125" s="19"/>
      <c r="C1125" s="19"/>
      <c r="D1125" s="19"/>
      <c r="E1125" s="19"/>
      <c r="F1125" s="19"/>
      <c r="G1125" s="19"/>
      <c r="H1125" s="19"/>
      <c r="I1125" s="19"/>
      <c r="J1125" s="19"/>
      <c r="K1125" s="19"/>
      <c r="L1125" s="19"/>
      <c r="M1125" s="19"/>
      <c r="N1125" s="19"/>
      <c r="O1125" s="19"/>
      <c r="P1125" s="19"/>
      <c r="Q1125" s="19"/>
      <c r="R1125" s="20"/>
      <c r="S1125" s="20"/>
    </row>
    <row r="1126" spans="1:19" x14ac:dyDescent="0.35">
      <c r="A1126" s="82"/>
      <c r="B1126" s="19"/>
      <c r="C1126" s="19"/>
      <c r="D1126" s="19"/>
      <c r="E1126" s="19"/>
      <c r="F1126" s="19"/>
      <c r="G1126" s="19"/>
      <c r="H1126" s="19"/>
      <c r="I1126" s="19"/>
      <c r="J1126" s="19"/>
      <c r="K1126" s="19"/>
      <c r="L1126" s="19"/>
      <c r="M1126" s="19"/>
      <c r="N1126" s="19"/>
      <c r="O1126" s="19"/>
      <c r="P1126" s="19"/>
      <c r="Q1126" s="19"/>
      <c r="R1126" s="20"/>
      <c r="S1126" s="20"/>
    </row>
    <row r="1127" spans="1:19" x14ac:dyDescent="0.35">
      <c r="A1127" s="82"/>
      <c r="B1127" s="19"/>
      <c r="C1127" s="19"/>
      <c r="D1127" s="19"/>
      <c r="E1127" s="19"/>
      <c r="F1127" s="19"/>
      <c r="G1127" s="19"/>
      <c r="H1127" s="19"/>
      <c r="I1127" s="19"/>
      <c r="J1127" s="19"/>
      <c r="K1127" s="19"/>
      <c r="L1127" s="19"/>
      <c r="M1127" s="19"/>
      <c r="N1127" s="19"/>
      <c r="O1127" s="19"/>
      <c r="P1127" s="19"/>
      <c r="Q1127" s="19"/>
      <c r="R1127" s="20"/>
      <c r="S1127" s="20"/>
    </row>
    <row r="1128" spans="1:19" x14ac:dyDescent="0.35">
      <c r="A1128" s="81"/>
      <c r="B1128" s="17"/>
      <c r="C1128" s="17"/>
      <c r="D1128" s="17"/>
      <c r="E1128" s="17"/>
      <c r="F1128" s="17"/>
      <c r="G1128" s="17"/>
      <c r="H1128" s="17"/>
      <c r="I1128" s="17"/>
      <c r="J1128" s="17"/>
      <c r="K1128" s="17"/>
      <c r="L1128" s="17"/>
      <c r="M1128" s="17"/>
      <c r="N1128" s="17"/>
      <c r="O1128" s="17"/>
      <c r="P1128" s="17"/>
      <c r="Q1128" s="17"/>
      <c r="R1128" s="18"/>
      <c r="S1128" s="18"/>
    </row>
    <row r="1129" spans="1:19" x14ac:dyDescent="0.35">
      <c r="A1129" s="82"/>
      <c r="B1129" s="19"/>
      <c r="C1129" s="19"/>
      <c r="D1129" s="19"/>
      <c r="E1129" s="19"/>
      <c r="F1129" s="19"/>
      <c r="G1129" s="19"/>
      <c r="H1129" s="19"/>
      <c r="I1129" s="19"/>
      <c r="J1129" s="19"/>
      <c r="K1129" s="19"/>
      <c r="L1129" s="19"/>
      <c r="M1129" s="19"/>
      <c r="N1129" s="19"/>
      <c r="O1129" s="19"/>
      <c r="P1129" s="19"/>
      <c r="Q1129" s="19"/>
      <c r="R1129" s="20"/>
      <c r="S1129" s="20"/>
    </row>
    <row r="1130" spans="1:19" x14ac:dyDescent="0.35">
      <c r="A1130" s="82"/>
      <c r="B1130" s="19"/>
      <c r="C1130" s="19"/>
      <c r="D1130" s="19"/>
      <c r="E1130" s="19"/>
      <c r="F1130" s="19"/>
      <c r="G1130" s="19"/>
      <c r="H1130" s="19"/>
      <c r="I1130" s="19"/>
      <c r="J1130" s="19"/>
      <c r="K1130" s="19"/>
      <c r="L1130" s="19"/>
      <c r="M1130" s="19"/>
      <c r="N1130" s="19"/>
      <c r="O1130" s="19"/>
      <c r="P1130" s="19"/>
      <c r="Q1130" s="19"/>
      <c r="R1130" s="20"/>
      <c r="S1130" s="20"/>
    </row>
    <row r="1131" spans="1:19" x14ac:dyDescent="0.35">
      <c r="A1131" s="81"/>
      <c r="B1131" s="17"/>
      <c r="C1131" s="17"/>
      <c r="D1131" s="17"/>
      <c r="E1131" s="17"/>
      <c r="F1131" s="17"/>
      <c r="G1131" s="17"/>
      <c r="H1131" s="17"/>
      <c r="I1131" s="17"/>
      <c r="J1131" s="17"/>
      <c r="K1131" s="17"/>
      <c r="L1131" s="19"/>
      <c r="M1131" s="19"/>
      <c r="N1131" s="19"/>
      <c r="O1131" s="17"/>
      <c r="P1131" s="17"/>
      <c r="Q1131" s="17"/>
      <c r="R1131" s="18"/>
      <c r="S1131" s="20"/>
    </row>
    <row r="1132" spans="1:19" x14ac:dyDescent="0.35">
      <c r="A1132" s="81"/>
      <c r="B1132" s="17"/>
      <c r="C1132" s="17"/>
      <c r="D1132" s="17"/>
      <c r="E1132" s="17"/>
      <c r="F1132" s="17"/>
      <c r="G1132" s="17"/>
      <c r="H1132" s="17"/>
      <c r="I1132" s="17"/>
      <c r="J1132" s="17"/>
      <c r="K1132" s="17"/>
      <c r="L1132" s="17"/>
      <c r="M1132" s="17"/>
      <c r="N1132" s="17"/>
      <c r="O1132" s="17"/>
      <c r="P1132" s="17"/>
      <c r="Q1132" s="17"/>
      <c r="R1132" s="18"/>
      <c r="S1132" s="20"/>
    </row>
    <row r="1133" spans="1:19" x14ac:dyDescent="0.35">
      <c r="A1133" s="81"/>
      <c r="B1133" s="17"/>
      <c r="C1133" s="17"/>
      <c r="D1133" s="17"/>
      <c r="E1133" s="17"/>
      <c r="F1133" s="17"/>
      <c r="G1133" s="17"/>
      <c r="H1133" s="17"/>
      <c r="I1133" s="17"/>
      <c r="J1133" s="17"/>
      <c r="K1133" s="17"/>
      <c r="L1133" s="17"/>
      <c r="M1133" s="17"/>
      <c r="N1133" s="17"/>
      <c r="O1133" s="17"/>
      <c r="P1133" s="17"/>
      <c r="Q1133" s="17"/>
      <c r="R1133" s="18"/>
      <c r="S1133" s="18"/>
    </row>
    <row r="1134" spans="1:19" x14ac:dyDescent="0.35">
      <c r="A1134" s="82"/>
      <c r="B1134" s="19"/>
      <c r="C1134" s="19"/>
      <c r="D1134" s="19"/>
      <c r="E1134" s="19"/>
      <c r="F1134" s="19"/>
      <c r="G1134" s="19"/>
      <c r="H1134" s="19"/>
      <c r="I1134" s="19"/>
      <c r="J1134" s="19"/>
      <c r="K1134" s="19"/>
      <c r="L1134" s="19"/>
      <c r="M1134" s="19"/>
      <c r="N1134" s="19"/>
      <c r="O1134" s="19"/>
      <c r="P1134" s="19"/>
      <c r="Q1134" s="19"/>
      <c r="R1134" s="20"/>
      <c r="S1134" s="20"/>
    </row>
    <row r="1135" spans="1:19" x14ac:dyDescent="0.35">
      <c r="A1135" s="81"/>
      <c r="B1135" s="17"/>
      <c r="C1135" s="17"/>
      <c r="D1135" s="17"/>
      <c r="E1135" s="17"/>
      <c r="F1135" s="17"/>
      <c r="G1135" s="17"/>
      <c r="H1135" s="17"/>
      <c r="I1135" s="17"/>
      <c r="J1135" s="17"/>
      <c r="K1135" s="17"/>
      <c r="L1135" s="17"/>
      <c r="M1135" s="17"/>
      <c r="N1135" s="17"/>
      <c r="O1135" s="17"/>
      <c r="P1135" s="17"/>
      <c r="Q1135" s="17"/>
      <c r="R1135" s="18"/>
      <c r="S1135" s="20"/>
    </row>
    <row r="1136" spans="1:19" x14ac:dyDescent="0.35">
      <c r="A1136" s="82"/>
      <c r="B1136" s="19"/>
      <c r="C1136" s="19"/>
      <c r="D1136" s="19"/>
      <c r="E1136" s="19"/>
      <c r="F1136" s="19"/>
      <c r="G1136" s="19"/>
      <c r="H1136" s="19"/>
      <c r="I1136" s="19"/>
      <c r="J1136" s="19"/>
      <c r="K1136" s="19"/>
      <c r="L1136" s="19"/>
      <c r="M1136" s="19"/>
      <c r="N1136" s="19"/>
      <c r="O1136" s="19"/>
      <c r="P1136" s="19"/>
      <c r="Q1136" s="19"/>
      <c r="R1136" s="20"/>
      <c r="S1136" s="20"/>
    </row>
    <row r="1137" spans="1:19" x14ac:dyDescent="0.35">
      <c r="A1137" s="82"/>
      <c r="B1137" s="19"/>
      <c r="C1137" s="19"/>
      <c r="D1137" s="19"/>
      <c r="E1137" s="19"/>
      <c r="F1137" s="19"/>
      <c r="G1137" s="19"/>
      <c r="H1137" s="19"/>
      <c r="I1137" s="19"/>
      <c r="J1137" s="19"/>
      <c r="K1137" s="19"/>
      <c r="L1137" s="19"/>
      <c r="M1137" s="19"/>
      <c r="N1137" s="19"/>
      <c r="O1137" s="19"/>
      <c r="P1137" s="19"/>
      <c r="Q1137" s="19"/>
      <c r="R1137" s="20"/>
      <c r="S1137" s="20"/>
    </row>
    <row r="1138" spans="1:19" x14ac:dyDescent="0.35">
      <c r="A1138" s="82"/>
      <c r="B1138" s="19"/>
      <c r="C1138" s="19"/>
      <c r="D1138" s="19"/>
      <c r="E1138" s="19"/>
      <c r="F1138" s="19"/>
      <c r="G1138" s="19"/>
      <c r="H1138" s="19"/>
      <c r="I1138" s="19"/>
      <c r="J1138" s="19"/>
      <c r="K1138" s="19"/>
      <c r="L1138" s="19"/>
      <c r="M1138" s="19"/>
      <c r="N1138" s="19"/>
      <c r="O1138" s="19"/>
      <c r="P1138" s="19"/>
      <c r="Q1138" s="19"/>
      <c r="R1138" s="20"/>
      <c r="S1138" s="20"/>
    </row>
    <row r="1139" spans="1:19" x14ac:dyDescent="0.35">
      <c r="A1139" s="82"/>
      <c r="B1139" s="19"/>
      <c r="C1139" s="19"/>
      <c r="D1139" s="19"/>
      <c r="E1139" s="19"/>
      <c r="F1139" s="19"/>
      <c r="G1139" s="19"/>
      <c r="H1139" s="19"/>
      <c r="I1139" s="19"/>
      <c r="J1139" s="19"/>
      <c r="K1139" s="19"/>
      <c r="L1139" s="19"/>
      <c r="M1139" s="19"/>
      <c r="N1139" s="19"/>
      <c r="O1139" s="19"/>
      <c r="P1139" s="19"/>
      <c r="Q1139" s="19"/>
      <c r="R1139" s="20"/>
      <c r="S1139" s="18"/>
    </row>
    <row r="1140" spans="1:19" x14ac:dyDescent="0.35">
      <c r="A1140" s="82"/>
      <c r="B1140" s="19"/>
      <c r="C1140" s="19"/>
      <c r="D1140" s="19"/>
      <c r="E1140" s="19"/>
      <c r="F1140" s="19"/>
      <c r="G1140" s="19"/>
      <c r="H1140" s="19"/>
      <c r="I1140" s="19"/>
      <c r="J1140" s="19"/>
      <c r="K1140" s="19"/>
      <c r="L1140" s="19"/>
      <c r="M1140" s="19"/>
      <c r="N1140" s="19"/>
      <c r="O1140" s="19"/>
      <c r="P1140" s="19"/>
      <c r="Q1140" s="19"/>
      <c r="R1140" s="20"/>
      <c r="S1140" s="20"/>
    </row>
    <row r="1141" spans="1:19" x14ac:dyDescent="0.35">
      <c r="A1141" s="81"/>
      <c r="B1141" s="17"/>
      <c r="C1141" s="17"/>
      <c r="D1141" s="17"/>
      <c r="E1141" s="17"/>
      <c r="F1141" s="17"/>
      <c r="G1141" s="17"/>
      <c r="H1141" s="17"/>
      <c r="I1141" s="17"/>
      <c r="J1141" s="17"/>
      <c r="K1141" s="17"/>
      <c r="L1141" s="17"/>
      <c r="M1141" s="17"/>
      <c r="N1141" s="17"/>
      <c r="O1141" s="17"/>
      <c r="P1141" s="17"/>
      <c r="Q1141" s="17"/>
      <c r="R1141" s="18"/>
      <c r="S1141" s="18"/>
    </row>
    <row r="1142" spans="1:19" x14ac:dyDescent="0.35">
      <c r="A1142" s="81"/>
      <c r="B1142" s="17"/>
      <c r="C1142" s="17"/>
      <c r="D1142" s="17"/>
      <c r="E1142" s="17"/>
      <c r="F1142" s="17"/>
      <c r="G1142" s="17"/>
      <c r="H1142" s="17"/>
      <c r="I1142" s="17"/>
      <c r="J1142" s="17"/>
      <c r="K1142" s="17"/>
      <c r="L1142" s="17"/>
      <c r="M1142" s="17"/>
      <c r="N1142" s="17"/>
      <c r="O1142" s="17"/>
      <c r="P1142" s="17"/>
      <c r="Q1142" s="17"/>
      <c r="R1142" s="18"/>
      <c r="S1142" s="18"/>
    </row>
    <row r="1143" spans="1:19" x14ac:dyDescent="0.35">
      <c r="A1143" s="82"/>
      <c r="B1143" s="19"/>
      <c r="C1143" s="19"/>
      <c r="D1143" s="19"/>
      <c r="E1143" s="19"/>
      <c r="F1143" s="19"/>
      <c r="G1143" s="19"/>
      <c r="H1143" s="19"/>
      <c r="I1143" s="19"/>
      <c r="J1143" s="19"/>
      <c r="K1143" s="19"/>
      <c r="L1143" s="19"/>
      <c r="M1143" s="19"/>
      <c r="N1143" s="19"/>
      <c r="O1143" s="19"/>
      <c r="P1143" s="19"/>
      <c r="Q1143" s="19"/>
      <c r="R1143" s="20"/>
      <c r="S1143" s="20"/>
    </row>
    <row r="1144" spans="1:19" x14ac:dyDescent="0.35">
      <c r="A1144" s="82"/>
      <c r="B1144" s="19"/>
      <c r="C1144" s="19"/>
      <c r="D1144" s="19"/>
      <c r="E1144" s="19"/>
      <c r="F1144" s="19"/>
      <c r="G1144" s="19"/>
      <c r="H1144" s="19"/>
      <c r="I1144" s="19"/>
      <c r="J1144" s="19"/>
      <c r="K1144" s="19"/>
      <c r="L1144" s="19"/>
      <c r="M1144" s="19"/>
      <c r="N1144" s="19"/>
      <c r="O1144" s="19"/>
      <c r="P1144" s="19"/>
      <c r="Q1144" s="19"/>
      <c r="R1144" s="20"/>
      <c r="S1144" s="20"/>
    </row>
    <row r="1145" spans="1:19" x14ac:dyDescent="0.35">
      <c r="A1145" s="82"/>
      <c r="B1145" s="19"/>
      <c r="C1145" s="19"/>
      <c r="D1145" s="19"/>
      <c r="E1145" s="19"/>
      <c r="F1145" s="19"/>
      <c r="G1145" s="19"/>
      <c r="H1145" s="19"/>
      <c r="I1145" s="19"/>
      <c r="J1145" s="19"/>
      <c r="K1145" s="19"/>
      <c r="L1145" s="19"/>
      <c r="M1145" s="19"/>
      <c r="N1145" s="19"/>
      <c r="O1145" s="19"/>
      <c r="P1145" s="19"/>
      <c r="Q1145" s="19"/>
      <c r="R1145" s="20"/>
      <c r="S1145" s="20"/>
    </row>
    <row r="1146" spans="1:19" x14ac:dyDescent="0.35">
      <c r="A1146" s="82"/>
      <c r="B1146" s="19"/>
      <c r="C1146" s="19"/>
      <c r="D1146" s="19"/>
      <c r="E1146" s="19"/>
      <c r="F1146" s="19"/>
      <c r="G1146" s="19"/>
      <c r="H1146" s="19"/>
      <c r="I1146" s="19"/>
      <c r="J1146" s="19"/>
      <c r="K1146" s="19"/>
      <c r="L1146" s="19"/>
      <c r="M1146" s="19"/>
      <c r="N1146" s="19"/>
      <c r="O1146" s="19"/>
      <c r="P1146" s="19"/>
      <c r="Q1146" s="19"/>
      <c r="R1146" s="20"/>
      <c r="S1146" s="18"/>
    </row>
    <row r="1147" spans="1:19" x14ac:dyDescent="0.35">
      <c r="A1147" s="82"/>
      <c r="B1147" s="19"/>
      <c r="C1147" s="19"/>
      <c r="D1147" s="19"/>
      <c r="E1147" s="19"/>
      <c r="F1147" s="19"/>
      <c r="G1147" s="19"/>
      <c r="H1147" s="19"/>
      <c r="I1147" s="19"/>
      <c r="J1147" s="19"/>
      <c r="K1147" s="19"/>
      <c r="L1147" s="19"/>
      <c r="M1147" s="19"/>
      <c r="N1147" s="19"/>
      <c r="O1147" s="19"/>
      <c r="P1147" s="19"/>
      <c r="Q1147" s="19"/>
      <c r="R1147" s="20"/>
      <c r="S1147" s="20"/>
    </row>
    <row r="1148" spans="1:19" x14ac:dyDescent="0.35">
      <c r="A1148" s="81"/>
      <c r="B1148" s="17"/>
      <c r="C1148" s="17"/>
      <c r="D1148" s="17"/>
      <c r="E1148" s="17"/>
      <c r="F1148" s="17"/>
      <c r="G1148" s="17"/>
      <c r="H1148" s="17"/>
      <c r="I1148" s="17"/>
      <c r="J1148" s="17"/>
      <c r="K1148" s="17"/>
      <c r="L1148" s="17"/>
      <c r="M1148" s="17"/>
      <c r="N1148" s="17"/>
      <c r="O1148" s="17"/>
      <c r="P1148" s="17"/>
      <c r="Q1148" s="17"/>
      <c r="R1148" s="18"/>
      <c r="S1148" s="18"/>
    </row>
    <row r="1149" spans="1:19" x14ac:dyDescent="0.35">
      <c r="A1149" s="81"/>
      <c r="B1149" s="17"/>
      <c r="C1149" s="17"/>
      <c r="D1149" s="17"/>
      <c r="E1149" s="17"/>
      <c r="F1149" s="17"/>
      <c r="G1149" s="17"/>
      <c r="H1149" s="17"/>
      <c r="I1149" s="17"/>
      <c r="J1149" s="17"/>
      <c r="K1149" s="17"/>
      <c r="L1149" s="17"/>
      <c r="M1149" s="17"/>
      <c r="N1149" s="17"/>
      <c r="O1149" s="17"/>
      <c r="P1149" s="17"/>
      <c r="Q1149" s="17"/>
      <c r="R1149" s="18"/>
      <c r="S1149" s="20"/>
    </row>
    <row r="1150" spans="1:19" x14ac:dyDescent="0.35">
      <c r="A1150" s="82"/>
      <c r="B1150" s="19"/>
      <c r="C1150" s="19"/>
      <c r="D1150" s="19"/>
      <c r="E1150" s="19"/>
      <c r="F1150" s="19"/>
      <c r="G1150" s="19"/>
      <c r="H1150" s="19"/>
      <c r="I1150" s="19"/>
      <c r="J1150" s="19"/>
      <c r="K1150" s="19"/>
      <c r="L1150" s="19"/>
      <c r="M1150" s="19"/>
      <c r="N1150" s="19"/>
      <c r="O1150" s="19"/>
      <c r="P1150" s="19"/>
      <c r="Q1150" s="19"/>
      <c r="R1150" s="20"/>
      <c r="S1150" s="20"/>
    </row>
    <row r="1151" spans="1:19" x14ac:dyDescent="0.35">
      <c r="A1151" s="82"/>
      <c r="B1151" s="19"/>
      <c r="C1151" s="19"/>
      <c r="D1151" s="19"/>
      <c r="E1151" s="19"/>
      <c r="F1151" s="19"/>
      <c r="G1151" s="19"/>
      <c r="H1151" s="19"/>
      <c r="I1151" s="19"/>
      <c r="J1151" s="19"/>
      <c r="K1151" s="19"/>
      <c r="L1151" s="19"/>
      <c r="M1151" s="19"/>
      <c r="N1151" s="19"/>
      <c r="O1151" s="19"/>
      <c r="P1151" s="19"/>
      <c r="Q1151" s="19"/>
      <c r="R1151" s="20"/>
      <c r="S1151" s="20"/>
    </row>
    <row r="1152" spans="1:19" x14ac:dyDescent="0.35">
      <c r="A1152" s="82"/>
      <c r="B1152" s="19"/>
      <c r="C1152" s="19"/>
      <c r="D1152" s="19"/>
      <c r="E1152" s="19"/>
      <c r="F1152" s="19"/>
      <c r="G1152" s="19"/>
      <c r="H1152" s="19"/>
      <c r="I1152" s="19"/>
      <c r="J1152" s="19"/>
      <c r="K1152" s="19"/>
      <c r="L1152" s="19"/>
      <c r="M1152" s="19"/>
      <c r="N1152" s="19"/>
      <c r="O1152" s="19"/>
      <c r="P1152" s="19"/>
      <c r="Q1152" s="19"/>
      <c r="R1152" s="20"/>
      <c r="S1152" s="20"/>
    </row>
    <row r="1153" spans="1:19" x14ac:dyDescent="0.35">
      <c r="A1153" s="82"/>
      <c r="B1153" s="19"/>
      <c r="C1153" s="19"/>
      <c r="D1153" s="19"/>
      <c r="E1153" s="19"/>
      <c r="F1153" s="19"/>
      <c r="G1153" s="19"/>
      <c r="H1153" s="19"/>
      <c r="I1153" s="19"/>
      <c r="J1153" s="19"/>
      <c r="K1153" s="19"/>
      <c r="L1153" s="19"/>
      <c r="M1153" s="19"/>
      <c r="N1153" s="19"/>
      <c r="O1153" s="19"/>
      <c r="P1153" s="19"/>
      <c r="Q1153" s="19"/>
      <c r="R1153" s="20"/>
      <c r="S1153" s="20"/>
    </row>
    <row r="1154" spans="1:19" x14ac:dyDescent="0.35">
      <c r="A1154" s="82"/>
      <c r="B1154" s="19"/>
      <c r="C1154" s="19"/>
      <c r="D1154" s="19"/>
      <c r="E1154" s="19"/>
      <c r="F1154" s="19"/>
      <c r="G1154" s="19"/>
      <c r="H1154" s="19"/>
      <c r="I1154" s="19"/>
      <c r="J1154" s="19"/>
      <c r="K1154" s="19"/>
      <c r="L1154" s="19"/>
      <c r="M1154" s="19"/>
      <c r="N1154" s="19"/>
      <c r="O1154" s="19"/>
      <c r="P1154" s="19"/>
      <c r="Q1154" s="19"/>
      <c r="R1154" s="20"/>
      <c r="S1154" s="18"/>
    </row>
    <row r="1155" spans="1:19" x14ac:dyDescent="0.35">
      <c r="A1155" s="82"/>
      <c r="B1155" s="19"/>
      <c r="C1155" s="19"/>
      <c r="D1155" s="19"/>
      <c r="E1155" s="19"/>
      <c r="F1155" s="19"/>
      <c r="G1155" s="19"/>
      <c r="H1155" s="19"/>
      <c r="I1155" s="19"/>
      <c r="J1155" s="19"/>
      <c r="K1155" s="19"/>
      <c r="L1155" s="19"/>
      <c r="M1155" s="19"/>
      <c r="N1155" s="19"/>
      <c r="O1155" s="19"/>
      <c r="P1155" s="19"/>
      <c r="Q1155" s="19"/>
      <c r="R1155" s="20"/>
      <c r="S1155" s="20"/>
    </row>
    <row r="1156" spans="1:19" x14ac:dyDescent="0.35">
      <c r="A1156" s="82"/>
      <c r="B1156" s="19"/>
      <c r="C1156" s="19"/>
      <c r="D1156" s="19"/>
      <c r="E1156" s="19"/>
      <c r="F1156" s="19"/>
      <c r="G1156" s="19"/>
      <c r="H1156" s="19"/>
      <c r="I1156" s="19"/>
      <c r="J1156" s="19"/>
      <c r="K1156" s="19"/>
      <c r="L1156" s="19"/>
      <c r="M1156" s="19"/>
      <c r="N1156" s="19"/>
      <c r="O1156" s="19"/>
      <c r="P1156" s="19"/>
      <c r="Q1156" s="19"/>
      <c r="R1156" s="20"/>
      <c r="S1156" s="20"/>
    </row>
    <row r="1157" spans="1:19" x14ac:dyDescent="0.35">
      <c r="A1157" s="81"/>
      <c r="B1157" s="17"/>
      <c r="C1157" s="17"/>
      <c r="D1157" s="17"/>
      <c r="E1157" s="17"/>
      <c r="F1157" s="17"/>
      <c r="G1157" s="17"/>
      <c r="H1157" s="17"/>
      <c r="I1157" s="17"/>
      <c r="J1157" s="17"/>
      <c r="K1157" s="17"/>
      <c r="L1157" s="17"/>
      <c r="M1157" s="17"/>
      <c r="N1157" s="17"/>
      <c r="O1157" s="17"/>
      <c r="P1157" s="17"/>
      <c r="Q1157" s="17"/>
      <c r="R1157" s="18"/>
      <c r="S1157" s="18"/>
    </row>
    <row r="1158" spans="1:19" x14ac:dyDescent="0.35">
      <c r="A1158" s="82"/>
      <c r="B1158" s="19"/>
      <c r="C1158" s="19"/>
      <c r="D1158" s="19"/>
      <c r="E1158" s="19"/>
      <c r="F1158" s="19"/>
      <c r="G1158" s="19"/>
      <c r="H1158" s="19"/>
      <c r="I1158" s="19"/>
      <c r="J1158" s="19"/>
      <c r="K1158" s="19"/>
      <c r="L1158" s="19"/>
      <c r="M1158" s="19"/>
      <c r="N1158" s="19"/>
      <c r="O1158" s="19"/>
      <c r="P1158" s="19"/>
      <c r="Q1158" s="19"/>
      <c r="R1158" s="19"/>
      <c r="S1158" s="20"/>
    </row>
    <row r="1159" spans="1:19" x14ac:dyDescent="0.35">
      <c r="A1159" s="82"/>
      <c r="B1159" s="19"/>
      <c r="C1159" s="19"/>
      <c r="D1159" s="19"/>
      <c r="E1159" s="19"/>
      <c r="F1159" s="19"/>
      <c r="G1159" s="19"/>
      <c r="H1159" s="19"/>
      <c r="I1159" s="19"/>
      <c r="J1159" s="19"/>
      <c r="K1159" s="19"/>
      <c r="L1159" s="19"/>
      <c r="M1159" s="19"/>
      <c r="N1159" s="19"/>
      <c r="O1159" s="19"/>
      <c r="P1159" s="19"/>
      <c r="Q1159" s="19"/>
      <c r="R1159" s="19"/>
      <c r="S1159" s="20"/>
    </row>
    <row r="1160" spans="1:19" x14ac:dyDescent="0.35">
      <c r="A1160" s="82"/>
      <c r="B1160" s="19"/>
      <c r="C1160" s="19"/>
      <c r="D1160" s="19"/>
      <c r="E1160" s="19"/>
      <c r="F1160" s="19"/>
      <c r="G1160" s="19"/>
      <c r="H1160" s="19"/>
      <c r="I1160" s="19"/>
      <c r="J1160" s="19"/>
      <c r="K1160" s="19"/>
      <c r="L1160" s="19"/>
      <c r="M1160" s="19"/>
      <c r="N1160" s="19"/>
      <c r="O1160" s="19"/>
      <c r="P1160" s="19"/>
      <c r="Q1160" s="19"/>
      <c r="R1160" s="19"/>
      <c r="S1160" s="20"/>
    </row>
    <row r="1161" spans="1:19" x14ac:dyDescent="0.35">
      <c r="A1161" s="81"/>
      <c r="B1161" s="17"/>
      <c r="C1161" s="17"/>
      <c r="D1161" s="17"/>
      <c r="E1161" s="17"/>
      <c r="F1161" s="17"/>
      <c r="G1161" s="17"/>
      <c r="H1161" s="17"/>
      <c r="I1161" s="17"/>
      <c r="J1161" s="17"/>
      <c r="K1161" s="17"/>
      <c r="L1161" s="19"/>
      <c r="M1161" s="19"/>
      <c r="N1161" s="19"/>
      <c r="O1161" s="17"/>
      <c r="P1161" s="17"/>
      <c r="Q1161" s="17"/>
      <c r="R1161" s="17"/>
      <c r="S1161" s="20"/>
    </row>
    <row r="1162" spans="1:19" x14ac:dyDescent="0.35">
      <c r="A1162" s="81"/>
      <c r="B1162" s="17"/>
      <c r="C1162" s="17"/>
      <c r="D1162" s="17"/>
      <c r="E1162" s="17"/>
      <c r="F1162" s="17"/>
      <c r="G1162" s="17"/>
      <c r="H1162" s="17"/>
      <c r="I1162" s="17"/>
      <c r="J1162" s="17"/>
      <c r="K1162" s="17"/>
      <c r="L1162" s="17"/>
      <c r="M1162" s="17"/>
      <c r="N1162" s="17"/>
      <c r="O1162" s="17"/>
      <c r="P1162" s="17"/>
      <c r="Q1162" s="17"/>
      <c r="R1162" s="17"/>
      <c r="S1162" s="20"/>
    </row>
    <row r="1163" spans="1:19" x14ac:dyDescent="0.35">
      <c r="A1163" s="82"/>
      <c r="B1163" s="19"/>
      <c r="C1163" s="19"/>
      <c r="D1163" s="19"/>
      <c r="E1163" s="19"/>
      <c r="F1163" s="19"/>
      <c r="G1163" s="19"/>
      <c r="H1163" s="19"/>
      <c r="I1163" s="19"/>
      <c r="J1163" s="19"/>
      <c r="K1163" s="19"/>
      <c r="L1163" s="19"/>
      <c r="M1163" s="19"/>
      <c r="N1163" s="19"/>
      <c r="O1163" s="19"/>
      <c r="P1163" s="19"/>
      <c r="Q1163" s="19"/>
      <c r="R1163" s="19"/>
      <c r="S1163" s="20"/>
    </row>
    <row r="1164" spans="1:19" x14ac:dyDescent="0.35">
      <c r="A1164" s="81"/>
      <c r="B1164" s="17"/>
      <c r="C1164" s="17"/>
      <c r="D1164" s="17"/>
      <c r="E1164" s="17"/>
      <c r="F1164" s="17"/>
      <c r="G1164" s="17"/>
      <c r="H1164" s="17"/>
      <c r="I1164" s="17"/>
      <c r="J1164" s="17"/>
      <c r="K1164" s="17"/>
      <c r="L1164" s="17"/>
      <c r="M1164" s="17"/>
      <c r="N1164" s="17"/>
      <c r="O1164" s="17"/>
      <c r="P1164" s="17"/>
      <c r="Q1164" s="17"/>
      <c r="R1164" s="17"/>
      <c r="S1164" s="20"/>
    </row>
    <row r="1165" spans="1:19" x14ac:dyDescent="0.35">
      <c r="A1165" s="81"/>
      <c r="B1165" s="17"/>
      <c r="C1165" s="17"/>
      <c r="D1165" s="17"/>
      <c r="E1165" s="17"/>
      <c r="F1165" s="17"/>
      <c r="G1165" s="17"/>
      <c r="H1165" s="17"/>
      <c r="I1165" s="17"/>
      <c r="J1165" s="17"/>
      <c r="K1165" s="17"/>
      <c r="L1165" s="17"/>
      <c r="M1165" s="17"/>
      <c r="N1165" s="17"/>
      <c r="O1165" s="17"/>
      <c r="P1165" s="17"/>
      <c r="Q1165" s="17"/>
      <c r="R1165" s="17"/>
      <c r="S1165" s="20"/>
    </row>
    <row r="1166" spans="1:19" x14ac:dyDescent="0.35">
      <c r="A1166" s="82"/>
      <c r="B1166" s="19"/>
      <c r="C1166" s="19"/>
      <c r="D1166" s="19"/>
      <c r="E1166" s="19"/>
      <c r="F1166" s="19"/>
      <c r="G1166" s="19"/>
      <c r="H1166" s="19"/>
      <c r="I1166" s="19"/>
      <c r="J1166" s="19"/>
      <c r="K1166" s="19"/>
      <c r="L1166" s="19"/>
      <c r="M1166" s="19"/>
      <c r="N1166" s="19"/>
      <c r="O1166" s="19"/>
      <c r="P1166" s="19"/>
      <c r="Q1166" s="19"/>
      <c r="R1166" s="19"/>
      <c r="S1166" s="20"/>
    </row>
    <row r="1167" spans="1:19" x14ac:dyDescent="0.35">
      <c r="A1167" s="82"/>
      <c r="B1167" s="19"/>
      <c r="C1167" s="19"/>
      <c r="D1167" s="19"/>
      <c r="E1167" s="19"/>
      <c r="F1167" s="19"/>
      <c r="G1167" s="19"/>
      <c r="H1167" s="19"/>
      <c r="I1167" s="19"/>
      <c r="J1167" s="19"/>
      <c r="K1167" s="19"/>
      <c r="L1167" s="19"/>
      <c r="M1167" s="19"/>
      <c r="N1167" s="19"/>
      <c r="O1167" s="19"/>
      <c r="P1167" s="19"/>
      <c r="Q1167" s="19"/>
      <c r="R1167" s="19"/>
      <c r="S1167" s="20"/>
    </row>
    <row r="1168" spans="1:19" x14ac:dyDescent="0.35">
      <c r="A1168" s="82"/>
      <c r="B1168" s="19"/>
      <c r="C1168" s="19"/>
      <c r="D1168" s="19"/>
      <c r="E1168" s="19"/>
      <c r="F1168" s="19"/>
      <c r="G1168" s="19"/>
      <c r="H1168" s="19"/>
      <c r="I1168" s="19"/>
      <c r="J1168" s="19"/>
      <c r="K1168" s="19"/>
      <c r="L1168" s="19"/>
      <c r="M1168" s="19"/>
      <c r="N1168" s="19"/>
      <c r="O1168" s="19"/>
      <c r="P1168" s="19"/>
      <c r="Q1168" s="19"/>
      <c r="R1168" s="19"/>
      <c r="S1168" s="20"/>
    </row>
    <row r="1169" spans="1:19" x14ac:dyDescent="0.35">
      <c r="A1169" s="82"/>
      <c r="B1169" s="19"/>
      <c r="C1169" s="19"/>
      <c r="D1169" s="19"/>
      <c r="E1169" s="19"/>
      <c r="F1169" s="19"/>
      <c r="G1169" s="19"/>
      <c r="H1169" s="19"/>
      <c r="I1169" s="19"/>
      <c r="J1169" s="19"/>
      <c r="K1169" s="19"/>
      <c r="L1169" s="19"/>
      <c r="M1169" s="19"/>
      <c r="N1169" s="19"/>
      <c r="O1169" s="19"/>
      <c r="P1169" s="19"/>
      <c r="Q1169" s="19"/>
      <c r="R1169" s="19"/>
      <c r="S1169" s="20"/>
    </row>
    <row r="1170" spans="1:19" x14ac:dyDescent="0.35">
      <c r="A1170" s="82"/>
      <c r="B1170" s="19"/>
      <c r="C1170" s="19"/>
      <c r="D1170" s="19"/>
      <c r="E1170" s="19"/>
      <c r="F1170" s="19"/>
      <c r="G1170" s="19"/>
      <c r="H1170" s="19"/>
      <c r="I1170" s="19"/>
      <c r="J1170" s="19"/>
      <c r="K1170" s="19"/>
      <c r="L1170" s="19"/>
      <c r="M1170" s="19"/>
      <c r="N1170" s="19"/>
      <c r="O1170" s="19"/>
      <c r="P1170" s="19"/>
      <c r="Q1170" s="19"/>
      <c r="R1170" s="19"/>
      <c r="S1170" s="20"/>
    </row>
    <row r="1171" spans="1:19" x14ac:dyDescent="0.35">
      <c r="A1171" s="82"/>
      <c r="B1171" s="19"/>
      <c r="C1171" s="19"/>
      <c r="D1171" s="19"/>
      <c r="E1171" s="19"/>
      <c r="F1171" s="19"/>
      <c r="G1171" s="19"/>
      <c r="H1171" s="19"/>
      <c r="I1171" s="19"/>
      <c r="J1171" s="19"/>
      <c r="K1171" s="19"/>
      <c r="L1171" s="19"/>
      <c r="M1171" s="19"/>
      <c r="N1171" s="19"/>
      <c r="O1171" s="19"/>
      <c r="P1171" s="19"/>
      <c r="Q1171" s="19"/>
      <c r="R1171" s="19"/>
      <c r="S1171" s="20"/>
    </row>
    <row r="1172" spans="1:19" x14ac:dyDescent="0.35">
      <c r="A1172" s="82"/>
      <c r="B1172" s="19"/>
      <c r="C1172" s="19"/>
      <c r="D1172" s="19"/>
      <c r="E1172" s="19"/>
      <c r="F1172" s="19"/>
      <c r="G1172" s="19"/>
      <c r="H1172" s="19"/>
      <c r="I1172" s="19"/>
      <c r="J1172" s="19"/>
      <c r="K1172" s="19"/>
      <c r="L1172" s="19"/>
      <c r="M1172" s="19"/>
      <c r="N1172" s="19"/>
      <c r="O1172" s="19"/>
      <c r="P1172" s="19"/>
      <c r="Q1172" s="19"/>
      <c r="R1172" s="19"/>
      <c r="S1172" s="20"/>
    </row>
    <row r="1173" spans="1:19" x14ac:dyDescent="0.35">
      <c r="A1173" s="82"/>
      <c r="B1173" s="19"/>
      <c r="C1173" s="19"/>
      <c r="D1173" s="19"/>
      <c r="E1173" s="19"/>
      <c r="F1173" s="19"/>
      <c r="G1173" s="19"/>
      <c r="H1173" s="19"/>
      <c r="I1173" s="19"/>
      <c r="J1173" s="19"/>
      <c r="K1173" s="19"/>
      <c r="L1173" s="19"/>
      <c r="M1173" s="19"/>
      <c r="N1173" s="19"/>
      <c r="O1173" s="19"/>
      <c r="P1173" s="19"/>
      <c r="Q1173" s="19"/>
      <c r="R1173" s="19"/>
      <c r="S1173" s="20"/>
    </row>
    <row r="1174" spans="1:19" x14ac:dyDescent="0.35">
      <c r="A1174" s="82"/>
      <c r="B1174" s="19"/>
      <c r="C1174" s="19"/>
      <c r="D1174" s="19"/>
      <c r="E1174" s="19"/>
      <c r="F1174" s="19"/>
      <c r="G1174" s="19"/>
      <c r="H1174" s="19"/>
      <c r="I1174" s="19"/>
      <c r="J1174" s="19"/>
      <c r="K1174" s="19"/>
      <c r="L1174" s="19"/>
      <c r="M1174" s="19"/>
      <c r="N1174" s="19"/>
      <c r="O1174" s="19"/>
      <c r="P1174" s="19"/>
      <c r="Q1174" s="19"/>
      <c r="R1174" s="19"/>
      <c r="S1174" s="20"/>
    </row>
    <row r="1175" spans="1:19" x14ac:dyDescent="0.35">
      <c r="A1175" s="81"/>
      <c r="B1175" s="17"/>
      <c r="C1175" s="17"/>
      <c r="D1175" s="17"/>
      <c r="E1175" s="17"/>
      <c r="F1175" s="17"/>
      <c r="G1175" s="17"/>
      <c r="H1175" s="17"/>
      <c r="I1175" s="17"/>
      <c r="J1175" s="17"/>
      <c r="K1175" s="17"/>
      <c r="L1175" s="17"/>
      <c r="M1175" s="17"/>
      <c r="N1175" s="17"/>
      <c r="O1175" s="17"/>
      <c r="P1175" s="17"/>
      <c r="Q1175" s="17"/>
      <c r="R1175" s="17"/>
      <c r="S1175" s="20"/>
    </row>
    <row r="1176" spans="1:19" x14ac:dyDescent="0.35">
      <c r="A1176" s="82"/>
      <c r="B1176" s="19"/>
      <c r="C1176" s="19"/>
      <c r="D1176" s="19"/>
      <c r="E1176" s="19"/>
      <c r="F1176" s="19"/>
      <c r="G1176" s="19"/>
      <c r="H1176" s="19"/>
      <c r="I1176" s="19"/>
      <c r="J1176" s="19"/>
      <c r="K1176" s="19"/>
      <c r="L1176" s="19"/>
      <c r="M1176" s="19"/>
      <c r="N1176" s="19"/>
      <c r="O1176" s="19"/>
      <c r="P1176" s="19"/>
      <c r="Q1176" s="19"/>
      <c r="R1176" s="19"/>
      <c r="S1176" s="20"/>
    </row>
    <row r="1177" spans="1:19" x14ac:dyDescent="0.35">
      <c r="A1177" s="82"/>
      <c r="B1177" s="19"/>
      <c r="C1177" s="19"/>
      <c r="D1177" s="19"/>
      <c r="E1177" s="19"/>
      <c r="F1177" s="19"/>
      <c r="G1177" s="19"/>
      <c r="H1177" s="19"/>
      <c r="I1177" s="19"/>
      <c r="J1177" s="19"/>
      <c r="K1177" s="19"/>
      <c r="L1177" s="19"/>
      <c r="M1177" s="19"/>
      <c r="N1177" s="19"/>
      <c r="O1177" s="19"/>
      <c r="P1177" s="19"/>
      <c r="Q1177" s="19"/>
      <c r="R1177" s="19"/>
      <c r="S1177" s="20"/>
    </row>
    <row r="1178" spans="1:19" x14ac:dyDescent="0.35">
      <c r="A1178" s="81"/>
      <c r="B1178" s="17"/>
      <c r="C1178" s="17"/>
      <c r="D1178" s="17"/>
      <c r="E1178" s="17"/>
      <c r="F1178" s="17"/>
      <c r="G1178" s="17"/>
      <c r="H1178" s="17"/>
      <c r="I1178" s="17"/>
      <c r="J1178" s="17"/>
      <c r="K1178" s="17"/>
      <c r="L1178" s="17"/>
      <c r="M1178" s="17"/>
      <c r="N1178" s="17"/>
      <c r="O1178" s="17"/>
      <c r="P1178" s="17"/>
      <c r="Q1178" s="17"/>
      <c r="R1178" s="17"/>
      <c r="S1178" s="18"/>
    </row>
    <row r="1179" spans="1:19" x14ac:dyDescent="0.35">
      <c r="A1179" s="82"/>
      <c r="B1179" s="19"/>
      <c r="C1179" s="19"/>
      <c r="D1179" s="19"/>
      <c r="E1179" s="19"/>
      <c r="F1179" s="19"/>
      <c r="G1179" s="19"/>
      <c r="H1179" s="19"/>
      <c r="I1179" s="19"/>
      <c r="J1179" s="19"/>
      <c r="K1179" s="19"/>
      <c r="L1179" s="19"/>
      <c r="M1179" s="19"/>
      <c r="N1179" s="19"/>
      <c r="O1179" s="19"/>
      <c r="P1179" s="19"/>
      <c r="Q1179" s="19"/>
      <c r="R1179" s="19"/>
      <c r="S1179" s="20"/>
    </row>
    <row r="1180" spans="1:19" x14ac:dyDescent="0.35">
      <c r="A1180" s="82"/>
      <c r="B1180" s="19"/>
      <c r="C1180" s="19"/>
      <c r="D1180" s="19"/>
      <c r="E1180" s="19"/>
      <c r="F1180" s="19"/>
      <c r="G1180" s="19"/>
      <c r="H1180" s="19"/>
      <c r="I1180" s="19"/>
      <c r="J1180" s="19"/>
      <c r="K1180" s="19"/>
      <c r="L1180" s="19"/>
      <c r="M1180" s="19"/>
      <c r="N1180" s="19"/>
      <c r="O1180" s="19"/>
      <c r="P1180" s="19"/>
      <c r="Q1180" s="19"/>
      <c r="R1180" s="19"/>
      <c r="S1180" s="20"/>
    </row>
    <row r="1181" spans="1:19" x14ac:dyDescent="0.35">
      <c r="A1181" s="82"/>
      <c r="B1181" s="19"/>
      <c r="C1181" s="19"/>
      <c r="D1181" s="19"/>
      <c r="E1181" s="19"/>
      <c r="F1181" s="19"/>
      <c r="G1181" s="19"/>
      <c r="H1181" s="19"/>
      <c r="I1181" s="19"/>
      <c r="J1181" s="19"/>
      <c r="K1181" s="19"/>
      <c r="L1181" s="19"/>
      <c r="M1181" s="19"/>
      <c r="N1181" s="19"/>
      <c r="O1181" s="19"/>
      <c r="P1181" s="19"/>
      <c r="Q1181" s="19"/>
      <c r="R1181" s="19"/>
      <c r="S1181" s="20"/>
    </row>
    <row r="1182" spans="1:19" x14ac:dyDescent="0.35">
      <c r="A1182" s="82"/>
      <c r="B1182" s="19"/>
      <c r="C1182" s="19"/>
      <c r="D1182" s="19"/>
      <c r="E1182" s="19"/>
      <c r="F1182" s="19"/>
      <c r="G1182" s="19"/>
      <c r="H1182" s="19"/>
      <c r="I1182" s="19"/>
      <c r="J1182" s="19"/>
      <c r="K1182" s="19"/>
      <c r="L1182" s="19"/>
      <c r="M1182" s="19"/>
      <c r="N1182" s="19"/>
      <c r="O1182" s="19"/>
      <c r="P1182" s="19"/>
      <c r="Q1182" s="19"/>
      <c r="R1182" s="19"/>
      <c r="S1182" s="20"/>
    </row>
    <row r="1183" spans="1:19" x14ac:dyDescent="0.35">
      <c r="A1183" s="82"/>
      <c r="B1183" s="19"/>
      <c r="C1183" s="19"/>
      <c r="D1183" s="19"/>
      <c r="E1183" s="19"/>
      <c r="F1183" s="19"/>
      <c r="G1183" s="19"/>
      <c r="H1183" s="19"/>
      <c r="I1183" s="19"/>
      <c r="J1183" s="19"/>
      <c r="K1183" s="19"/>
      <c r="L1183" s="19"/>
      <c r="M1183" s="19"/>
      <c r="N1183" s="19"/>
      <c r="O1183" s="19"/>
      <c r="P1183" s="19"/>
      <c r="Q1183" s="19"/>
      <c r="R1183" s="19"/>
      <c r="S1183" s="20"/>
    </row>
    <row r="1184" spans="1:19" x14ac:dyDescent="0.35">
      <c r="A1184" s="82"/>
      <c r="B1184" s="19"/>
      <c r="C1184" s="19"/>
      <c r="D1184" s="19"/>
      <c r="E1184" s="19"/>
      <c r="F1184" s="19"/>
      <c r="G1184" s="19"/>
      <c r="H1184" s="19"/>
      <c r="I1184" s="19"/>
      <c r="J1184" s="19"/>
      <c r="K1184" s="19"/>
      <c r="L1184" s="19"/>
      <c r="M1184" s="19"/>
      <c r="N1184" s="19"/>
      <c r="O1184" s="19"/>
      <c r="P1184" s="19"/>
      <c r="Q1184" s="19"/>
      <c r="R1184" s="19"/>
      <c r="S1184" s="20"/>
    </row>
    <row r="1185" spans="1:19" x14ac:dyDescent="0.35">
      <c r="A1185" s="81"/>
      <c r="B1185" s="17"/>
      <c r="C1185" s="17"/>
      <c r="D1185" s="17"/>
      <c r="E1185" s="17"/>
      <c r="F1185" s="17"/>
      <c r="G1185" s="17"/>
      <c r="H1185" s="17"/>
      <c r="I1185" s="17"/>
      <c r="J1185" s="17"/>
      <c r="K1185" s="17"/>
      <c r="L1185" s="17"/>
      <c r="M1185" s="17"/>
      <c r="N1185" s="17"/>
      <c r="O1185" s="17"/>
      <c r="P1185" s="17"/>
      <c r="Q1185" s="17"/>
      <c r="R1185" s="17"/>
      <c r="S1185" s="20"/>
    </row>
    <row r="1186" spans="1:19" x14ac:dyDescent="0.35">
      <c r="A1186" s="81"/>
      <c r="B1186" s="17"/>
      <c r="C1186" s="17"/>
      <c r="D1186" s="17"/>
      <c r="E1186" s="17"/>
      <c r="F1186" s="17"/>
      <c r="G1186" s="17"/>
      <c r="H1186" s="17"/>
      <c r="I1186" s="17"/>
      <c r="J1186" s="17"/>
      <c r="K1186" s="17"/>
      <c r="L1186" s="17"/>
      <c r="M1186" s="17"/>
      <c r="N1186" s="17"/>
      <c r="O1186" s="17"/>
      <c r="P1186" s="17"/>
      <c r="Q1186" s="17"/>
      <c r="R1186" s="17"/>
      <c r="S1186" s="18"/>
    </row>
    <row r="1187" spans="1:19" x14ac:dyDescent="0.35">
      <c r="A1187" s="82"/>
      <c r="B1187" s="19"/>
      <c r="C1187" s="19"/>
      <c r="D1187" s="19"/>
      <c r="E1187" s="19"/>
      <c r="F1187" s="19"/>
      <c r="G1187" s="19"/>
      <c r="H1187" s="19"/>
      <c r="I1187" s="19"/>
      <c r="J1187" s="19"/>
      <c r="K1187" s="19"/>
      <c r="L1187" s="19"/>
      <c r="M1187" s="19"/>
      <c r="N1187" s="19"/>
      <c r="O1187" s="19"/>
      <c r="P1187" s="19"/>
      <c r="Q1187" s="19"/>
      <c r="R1187" s="19"/>
      <c r="S1187" s="20"/>
    </row>
    <row r="1188" spans="1:19" x14ac:dyDescent="0.35">
      <c r="A1188" s="82"/>
      <c r="B1188" s="19"/>
      <c r="C1188" s="19"/>
      <c r="D1188" s="19"/>
      <c r="E1188" s="19"/>
      <c r="F1188" s="19"/>
      <c r="G1188" s="19"/>
      <c r="H1188" s="19"/>
      <c r="I1188" s="19"/>
      <c r="J1188" s="19"/>
      <c r="K1188" s="19"/>
      <c r="L1188" s="19"/>
      <c r="M1188" s="19"/>
      <c r="N1188" s="19"/>
      <c r="O1188" s="19"/>
      <c r="P1188" s="19"/>
      <c r="Q1188" s="19"/>
      <c r="R1188" s="19"/>
      <c r="S1188" s="20"/>
    </row>
    <row r="1189" spans="1:19" x14ac:dyDescent="0.35">
      <c r="A1189" s="82"/>
      <c r="B1189" s="19"/>
      <c r="C1189" s="19"/>
      <c r="D1189" s="19"/>
      <c r="E1189" s="19"/>
      <c r="F1189" s="19"/>
      <c r="G1189" s="19"/>
      <c r="H1189" s="19"/>
      <c r="I1189" s="19"/>
      <c r="J1189" s="19"/>
      <c r="K1189" s="19"/>
      <c r="L1189" s="19"/>
      <c r="M1189" s="19"/>
      <c r="N1189" s="19"/>
      <c r="O1189" s="19"/>
      <c r="P1189" s="19"/>
      <c r="Q1189" s="19"/>
      <c r="R1189" s="19"/>
      <c r="S1189" s="20"/>
    </row>
    <row r="1190" spans="1:19" x14ac:dyDescent="0.35">
      <c r="A1190" s="81"/>
      <c r="B1190" s="17"/>
      <c r="C1190" s="17"/>
      <c r="D1190" s="17"/>
      <c r="E1190" s="17"/>
      <c r="F1190" s="17"/>
      <c r="G1190" s="17"/>
      <c r="H1190" s="17"/>
      <c r="I1190" s="17"/>
      <c r="J1190" s="17"/>
      <c r="K1190" s="17"/>
      <c r="L1190" s="19"/>
      <c r="M1190" s="19"/>
      <c r="N1190" s="19"/>
      <c r="O1190" s="17"/>
      <c r="P1190" s="17"/>
      <c r="Q1190" s="17"/>
      <c r="R1190" s="17"/>
      <c r="S1190" s="20"/>
    </row>
    <row r="1191" spans="1:19" x14ac:dyDescent="0.35">
      <c r="A1191" s="82"/>
      <c r="B1191" s="19"/>
      <c r="C1191" s="19"/>
      <c r="D1191" s="19"/>
      <c r="E1191" s="19"/>
      <c r="F1191" s="19"/>
      <c r="G1191" s="19"/>
      <c r="H1191" s="19"/>
      <c r="I1191" s="19"/>
      <c r="J1191" s="19"/>
      <c r="K1191" s="19"/>
      <c r="L1191" s="19"/>
      <c r="M1191" s="19"/>
      <c r="N1191" s="19"/>
      <c r="O1191" s="19"/>
      <c r="P1191" s="19"/>
      <c r="Q1191" s="19"/>
      <c r="R1191" s="19"/>
      <c r="S1191" s="20"/>
    </row>
    <row r="1192" spans="1:19" x14ac:dyDescent="0.35">
      <c r="A1192" s="81"/>
      <c r="B1192" s="17"/>
      <c r="C1192" s="17"/>
      <c r="D1192" s="17"/>
      <c r="E1192" s="17"/>
      <c r="F1192" s="17"/>
      <c r="G1192" s="17"/>
      <c r="H1192" s="17"/>
      <c r="I1192" s="17"/>
      <c r="J1192" s="17"/>
      <c r="K1192" s="17"/>
      <c r="L1192" s="17"/>
      <c r="M1192" s="17"/>
      <c r="N1192" s="17"/>
      <c r="O1192" s="17"/>
      <c r="P1192" s="17"/>
      <c r="Q1192" s="17"/>
      <c r="R1192" s="17"/>
      <c r="S1192" s="18"/>
    </row>
    <row r="1193" spans="1:19" x14ac:dyDescent="0.35">
      <c r="A1193" s="82"/>
      <c r="B1193" s="19"/>
      <c r="C1193" s="19"/>
      <c r="D1193" s="19"/>
      <c r="E1193" s="19"/>
      <c r="F1193" s="19"/>
      <c r="G1193" s="19"/>
      <c r="H1193" s="19"/>
      <c r="I1193" s="19"/>
      <c r="J1193" s="19"/>
      <c r="K1193" s="19"/>
      <c r="L1193" s="19"/>
      <c r="N1193" s="19"/>
      <c r="O1193" s="19"/>
      <c r="P1193" s="19"/>
      <c r="Q1193" s="19"/>
      <c r="R1193" s="19"/>
      <c r="S1193" s="20"/>
    </row>
    <row r="1194" spans="1:19" x14ac:dyDescent="0.35">
      <c r="A1194" s="81"/>
      <c r="B1194" s="17"/>
      <c r="C1194" s="17"/>
      <c r="D1194" s="17"/>
      <c r="E1194" s="17"/>
      <c r="F1194" s="17"/>
      <c r="G1194" s="17"/>
      <c r="H1194" s="17"/>
      <c r="I1194" s="17"/>
      <c r="J1194" s="17"/>
      <c r="K1194" s="17"/>
      <c r="L1194" s="17"/>
      <c r="M1194" s="30"/>
      <c r="N1194" s="17"/>
      <c r="O1194" s="17"/>
      <c r="P1194" s="17"/>
      <c r="Q1194" s="17"/>
      <c r="R1194" s="17"/>
      <c r="S1194" s="20"/>
    </row>
    <row r="1195" spans="1:19" x14ac:dyDescent="0.35">
      <c r="A1195" s="82"/>
      <c r="B1195" s="19"/>
      <c r="C1195" s="19"/>
      <c r="D1195" s="19"/>
      <c r="E1195" s="19"/>
      <c r="F1195" s="19"/>
      <c r="G1195" s="19"/>
      <c r="H1195" s="19"/>
      <c r="I1195" s="19"/>
      <c r="J1195" s="19"/>
      <c r="K1195" s="19"/>
      <c r="L1195" s="19"/>
      <c r="N1195" s="19"/>
      <c r="O1195" s="19"/>
      <c r="P1195" s="19"/>
      <c r="Q1195" s="19"/>
      <c r="R1195" s="19"/>
      <c r="S1195" s="20"/>
    </row>
    <row r="1196" spans="1:19" x14ac:dyDescent="0.35">
      <c r="A1196" s="82"/>
      <c r="B1196" s="19"/>
      <c r="C1196" s="19"/>
      <c r="D1196" s="19"/>
      <c r="E1196" s="19"/>
      <c r="F1196" s="19"/>
      <c r="G1196" s="19"/>
      <c r="H1196" s="19"/>
      <c r="I1196" s="19"/>
      <c r="J1196" s="19"/>
      <c r="K1196" s="19"/>
      <c r="L1196" s="19"/>
      <c r="N1196" s="19"/>
      <c r="O1196" s="19"/>
      <c r="P1196" s="19"/>
      <c r="Q1196" s="19"/>
      <c r="R1196" s="19"/>
      <c r="S1196" s="20"/>
    </row>
    <row r="1197" spans="1:19" x14ac:dyDescent="0.35">
      <c r="A1197" s="82"/>
      <c r="B1197" s="19"/>
      <c r="C1197" s="19"/>
      <c r="D1197" s="19"/>
      <c r="E1197" s="19"/>
      <c r="F1197" s="19"/>
      <c r="G1197" s="19"/>
      <c r="H1197" s="19"/>
      <c r="I1197" s="19"/>
      <c r="J1197" s="19"/>
      <c r="K1197" s="19"/>
      <c r="L1197" s="19"/>
      <c r="N1197" s="19"/>
      <c r="O1197" s="19"/>
      <c r="P1197" s="19"/>
      <c r="Q1197" s="19"/>
      <c r="R1197" s="19"/>
      <c r="S1197" s="20"/>
    </row>
    <row r="1198" spans="1:19" x14ac:dyDescent="0.35">
      <c r="A1198" s="82"/>
      <c r="B1198" s="19"/>
      <c r="C1198" s="19"/>
      <c r="D1198" s="19"/>
      <c r="E1198" s="19"/>
      <c r="F1198" s="19"/>
      <c r="G1198" s="19"/>
      <c r="H1198" s="19"/>
      <c r="I1198" s="19"/>
      <c r="J1198" s="19"/>
      <c r="K1198" s="19"/>
      <c r="L1198" s="19"/>
      <c r="M1198" s="19"/>
      <c r="N1198" s="19"/>
      <c r="O1198" s="19"/>
      <c r="P1198" s="19"/>
      <c r="Q1198" s="19"/>
      <c r="R1198" s="19"/>
      <c r="S1198" s="20"/>
    </row>
    <row r="1199" spans="1:19" x14ac:dyDescent="0.35">
      <c r="A1199" s="81"/>
      <c r="B1199" s="17"/>
      <c r="C1199" s="17"/>
      <c r="D1199" s="17"/>
      <c r="E1199" s="17"/>
      <c r="F1199" s="17"/>
      <c r="G1199" s="17"/>
      <c r="H1199" s="17"/>
      <c r="I1199" s="17"/>
      <c r="J1199" s="17"/>
      <c r="K1199" s="17"/>
      <c r="L1199" s="17"/>
      <c r="M1199" s="17"/>
      <c r="N1199" s="17"/>
      <c r="O1199" s="17"/>
      <c r="P1199" s="17"/>
      <c r="Q1199" s="17"/>
      <c r="R1199" s="17"/>
      <c r="S1199" s="18"/>
    </row>
    <row r="1200" spans="1:19" x14ac:dyDescent="0.35">
      <c r="A1200" s="81"/>
      <c r="B1200" s="17"/>
      <c r="C1200" s="17"/>
      <c r="D1200" s="17"/>
      <c r="E1200" s="17"/>
      <c r="F1200" s="17"/>
      <c r="G1200" s="17"/>
      <c r="H1200" s="17"/>
      <c r="I1200" s="17"/>
      <c r="J1200" s="17"/>
      <c r="K1200" s="17"/>
      <c r="L1200" s="17"/>
      <c r="M1200" s="17"/>
      <c r="N1200" s="17"/>
      <c r="O1200" s="17"/>
      <c r="P1200" s="17"/>
      <c r="Q1200" s="17"/>
      <c r="R1200" s="17"/>
      <c r="S1200" s="18"/>
    </row>
    <row r="1201" spans="1:19" x14ac:dyDescent="0.35">
      <c r="A1201" s="82"/>
      <c r="B1201" s="19"/>
      <c r="C1201" s="19"/>
      <c r="D1201" s="19"/>
      <c r="E1201" s="19"/>
      <c r="F1201" s="19"/>
      <c r="G1201" s="19"/>
      <c r="H1201" s="19"/>
      <c r="I1201" s="19"/>
      <c r="J1201" s="19"/>
      <c r="K1201" s="19"/>
      <c r="L1201" s="19"/>
      <c r="M1201" s="19"/>
      <c r="N1201" s="19"/>
      <c r="O1201" s="19"/>
      <c r="P1201" s="19"/>
      <c r="Q1201" s="19"/>
      <c r="R1201" s="20"/>
    </row>
    <row r="1202" spans="1:19" x14ac:dyDescent="0.35">
      <c r="A1202" s="82"/>
      <c r="B1202" s="19"/>
      <c r="C1202" s="19"/>
      <c r="D1202" s="19"/>
      <c r="E1202" s="19"/>
      <c r="F1202" s="19"/>
      <c r="G1202" s="19"/>
      <c r="H1202" s="19"/>
      <c r="I1202" s="19"/>
      <c r="J1202" s="19"/>
      <c r="K1202" s="19"/>
      <c r="L1202" s="19"/>
      <c r="M1202" s="19"/>
      <c r="N1202" s="19"/>
      <c r="O1202" s="19"/>
      <c r="P1202" s="19"/>
      <c r="Q1202" s="19"/>
      <c r="R1202" s="20"/>
    </row>
    <row r="1203" spans="1:19" x14ac:dyDescent="0.35">
      <c r="A1203" s="82"/>
      <c r="B1203" s="19"/>
      <c r="C1203" s="19"/>
      <c r="D1203" s="19"/>
      <c r="E1203" s="19"/>
      <c r="F1203" s="19"/>
      <c r="G1203" s="19"/>
      <c r="H1203" s="19"/>
      <c r="I1203" s="19"/>
      <c r="J1203" s="19"/>
      <c r="K1203" s="19"/>
      <c r="L1203" s="19"/>
      <c r="M1203" s="19"/>
      <c r="N1203" s="19"/>
      <c r="O1203" s="19"/>
      <c r="P1203" s="19"/>
      <c r="Q1203" s="19"/>
      <c r="R1203" s="20"/>
    </row>
    <row r="1204" spans="1:19" x14ac:dyDescent="0.35">
      <c r="A1204" s="82"/>
      <c r="B1204" s="19"/>
      <c r="C1204" s="19"/>
      <c r="D1204" s="19"/>
      <c r="E1204" s="19"/>
      <c r="F1204" s="19"/>
      <c r="G1204" s="19"/>
      <c r="H1204" s="19"/>
      <c r="I1204" s="19"/>
      <c r="J1204" s="19"/>
      <c r="K1204" s="19"/>
      <c r="L1204" s="19"/>
      <c r="M1204" s="19"/>
      <c r="N1204" s="19"/>
      <c r="O1204" s="19"/>
      <c r="P1204" s="19"/>
      <c r="Q1204" s="19"/>
      <c r="R1204" s="20"/>
    </row>
    <row r="1205" spans="1:19" x14ac:dyDescent="0.35">
      <c r="A1205" s="82"/>
      <c r="B1205" s="19"/>
      <c r="C1205" s="19"/>
      <c r="D1205" s="19"/>
      <c r="E1205" s="19"/>
      <c r="F1205" s="19"/>
      <c r="G1205" s="19"/>
      <c r="H1205" s="19"/>
      <c r="I1205" s="19"/>
      <c r="J1205" s="19"/>
      <c r="K1205" s="19"/>
      <c r="L1205" s="19"/>
      <c r="M1205" s="19"/>
      <c r="N1205" s="19"/>
      <c r="O1205" s="19"/>
      <c r="P1205" s="19"/>
      <c r="Q1205" s="19"/>
      <c r="R1205" s="20"/>
    </row>
    <row r="1206" spans="1:19" x14ac:dyDescent="0.35">
      <c r="A1206" s="82"/>
      <c r="B1206" s="19"/>
      <c r="C1206" s="19"/>
      <c r="D1206" s="19"/>
      <c r="E1206" s="19"/>
      <c r="F1206" s="19"/>
      <c r="G1206" s="19"/>
      <c r="H1206" s="19"/>
      <c r="I1206" s="19"/>
      <c r="J1206" s="19"/>
      <c r="K1206" s="19"/>
      <c r="L1206" s="19"/>
      <c r="M1206" s="19"/>
      <c r="N1206" s="19"/>
      <c r="O1206" s="19"/>
      <c r="P1206" s="19"/>
      <c r="Q1206" s="19"/>
      <c r="R1206" s="20"/>
    </row>
    <row r="1207" spans="1:19" x14ac:dyDescent="0.35">
      <c r="A1207" s="81"/>
      <c r="B1207" s="17"/>
      <c r="C1207" s="17"/>
      <c r="D1207" s="17"/>
      <c r="E1207" s="17"/>
      <c r="F1207" s="17"/>
      <c r="G1207" s="17"/>
      <c r="H1207" s="17"/>
      <c r="I1207" s="17"/>
      <c r="J1207" s="17"/>
      <c r="K1207" s="17"/>
      <c r="L1207" s="17"/>
      <c r="M1207" s="17"/>
      <c r="N1207" s="17"/>
      <c r="O1207" s="17"/>
      <c r="P1207" s="17"/>
      <c r="Q1207" s="17"/>
      <c r="R1207" s="18"/>
    </row>
    <row r="1208" spans="1:19" x14ac:dyDescent="0.35">
      <c r="A1208" s="82"/>
      <c r="B1208" s="19"/>
      <c r="C1208" s="19"/>
      <c r="D1208" s="19"/>
      <c r="E1208" s="19"/>
      <c r="F1208" s="19"/>
      <c r="G1208" s="19"/>
      <c r="H1208" s="19"/>
      <c r="I1208" s="19"/>
      <c r="J1208" s="19"/>
      <c r="K1208" s="19"/>
      <c r="L1208" s="19"/>
      <c r="M1208" s="19"/>
      <c r="N1208" s="19"/>
      <c r="O1208" s="19"/>
      <c r="P1208" s="19"/>
      <c r="Q1208" s="19"/>
      <c r="R1208" s="20"/>
    </row>
    <row r="1209" spans="1:19" x14ac:dyDescent="0.35">
      <c r="A1209" s="82"/>
      <c r="B1209" s="19"/>
      <c r="C1209" s="19"/>
      <c r="D1209" s="19"/>
      <c r="E1209" s="19"/>
      <c r="F1209" s="19"/>
      <c r="G1209" s="19"/>
      <c r="H1209" s="19"/>
      <c r="I1209" s="19"/>
      <c r="J1209" s="19"/>
      <c r="K1209" s="19"/>
      <c r="L1209" s="19"/>
      <c r="M1209" s="19"/>
      <c r="N1209" s="19"/>
      <c r="O1209" s="19"/>
      <c r="P1209" s="19"/>
      <c r="Q1209" s="19"/>
      <c r="R1209" s="20"/>
    </row>
    <row r="1210" spans="1:19" x14ac:dyDescent="0.35">
      <c r="A1210" s="82"/>
      <c r="B1210" s="19"/>
      <c r="C1210" s="19"/>
      <c r="D1210" s="19"/>
      <c r="E1210" s="19"/>
      <c r="F1210" s="19"/>
      <c r="G1210" s="19"/>
      <c r="H1210" s="19"/>
      <c r="I1210" s="19"/>
      <c r="J1210" s="19"/>
      <c r="K1210" s="19"/>
      <c r="L1210" s="19"/>
      <c r="M1210" s="19"/>
      <c r="N1210" s="19"/>
      <c r="O1210" s="19"/>
      <c r="P1210" s="19"/>
      <c r="Q1210" s="19"/>
      <c r="R1210" s="20"/>
    </row>
    <row r="1211" spans="1:19" x14ac:dyDescent="0.35">
      <c r="A1211" s="82"/>
      <c r="B1211" s="19"/>
      <c r="C1211" s="19"/>
      <c r="D1211" s="19"/>
      <c r="E1211" s="19"/>
      <c r="F1211" s="19"/>
      <c r="G1211" s="19"/>
      <c r="H1211" s="19"/>
      <c r="I1211" s="19"/>
      <c r="J1211" s="19"/>
      <c r="K1211" s="19"/>
      <c r="L1211" s="19"/>
      <c r="M1211" s="19"/>
      <c r="N1211" s="19"/>
      <c r="O1211" s="19"/>
      <c r="P1211" s="19"/>
      <c r="Q1211" s="19"/>
      <c r="R1211" s="20"/>
    </row>
    <row r="1212" spans="1:19" x14ac:dyDescent="0.35">
      <c r="A1212" s="82"/>
      <c r="B1212" s="19"/>
      <c r="C1212" s="19"/>
      <c r="D1212" s="19"/>
      <c r="E1212" s="19"/>
      <c r="F1212" s="19"/>
      <c r="G1212" s="19"/>
      <c r="H1212" s="19"/>
      <c r="I1212" s="19"/>
      <c r="J1212" s="19"/>
      <c r="K1212" s="19"/>
      <c r="L1212" s="19"/>
      <c r="M1212" s="19"/>
      <c r="N1212" s="19"/>
      <c r="O1212" s="19"/>
      <c r="P1212" s="19"/>
      <c r="Q1212" s="19"/>
      <c r="R1212" s="20"/>
      <c r="S1212" s="30"/>
    </row>
    <row r="1213" spans="1:19" x14ac:dyDescent="0.35">
      <c r="A1213" s="82"/>
      <c r="B1213" s="19"/>
      <c r="C1213" s="19"/>
      <c r="D1213" s="19"/>
      <c r="E1213" s="19"/>
      <c r="F1213" s="19"/>
      <c r="G1213" s="19"/>
      <c r="H1213" s="19"/>
      <c r="I1213" s="19"/>
      <c r="J1213" s="19"/>
      <c r="K1213" s="19"/>
      <c r="L1213" s="19"/>
      <c r="M1213" s="19"/>
      <c r="N1213" s="19"/>
      <c r="O1213" s="19"/>
      <c r="P1213" s="19"/>
      <c r="Q1213" s="19"/>
      <c r="R1213" s="20"/>
    </row>
    <row r="1214" spans="1:19" x14ac:dyDescent="0.35">
      <c r="A1214" s="81"/>
      <c r="B1214" s="17"/>
      <c r="C1214" s="17"/>
      <c r="D1214" s="17"/>
      <c r="E1214" s="17"/>
      <c r="F1214" s="17"/>
      <c r="G1214" s="17"/>
      <c r="H1214" s="17"/>
      <c r="I1214" s="17"/>
      <c r="J1214" s="17"/>
      <c r="K1214" s="17"/>
      <c r="L1214" s="17"/>
      <c r="M1214" s="17"/>
      <c r="N1214" s="17"/>
      <c r="O1214" s="17"/>
      <c r="P1214" s="17"/>
      <c r="Q1214" s="17"/>
      <c r="R1214" s="18"/>
    </row>
    <row r="1215" spans="1:19" x14ac:dyDescent="0.35">
      <c r="A1215" s="82"/>
      <c r="B1215" s="19"/>
      <c r="C1215" s="19"/>
      <c r="D1215" s="19"/>
      <c r="E1215" s="19"/>
      <c r="F1215" s="19"/>
      <c r="G1215" s="19"/>
      <c r="H1215" s="19"/>
      <c r="I1215" s="19"/>
      <c r="J1215" s="19"/>
      <c r="K1215" s="19"/>
      <c r="L1215" s="19"/>
      <c r="M1215" s="19"/>
      <c r="N1215" s="19"/>
      <c r="O1215" s="19"/>
      <c r="P1215" s="19"/>
      <c r="Q1215" s="19"/>
      <c r="R1215" s="20"/>
    </row>
    <row r="1216" spans="1:19" x14ac:dyDescent="0.35">
      <c r="A1216" s="82"/>
      <c r="B1216" s="19"/>
      <c r="C1216" s="19"/>
      <c r="D1216" s="19"/>
      <c r="E1216" s="19"/>
      <c r="F1216" s="19"/>
      <c r="G1216" s="19"/>
      <c r="H1216" s="19"/>
      <c r="I1216" s="19"/>
      <c r="J1216" s="19"/>
      <c r="K1216" s="19"/>
      <c r="L1216" s="19"/>
      <c r="M1216" s="19"/>
      <c r="N1216" s="19"/>
      <c r="O1216" s="19"/>
      <c r="P1216" s="19"/>
      <c r="Q1216" s="19"/>
      <c r="R1216" s="20"/>
    </row>
    <row r="1217" spans="1:19" x14ac:dyDescent="0.35">
      <c r="A1217" s="81"/>
      <c r="B1217" s="17"/>
      <c r="C1217" s="17"/>
      <c r="D1217" s="17"/>
      <c r="E1217" s="17"/>
      <c r="F1217" s="17"/>
      <c r="G1217" s="17"/>
      <c r="H1217" s="17"/>
      <c r="I1217" s="17"/>
      <c r="J1217" s="17"/>
      <c r="K1217" s="17"/>
      <c r="L1217" s="19"/>
      <c r="M1217" s="19"/>
      <c r="N1217" s="19"/>
      <c r="O1217" s="17"/>
      <c r="P1217" s="17"/>
      <c r="Q1217" s="17"/>
      <c r="R1217" s="18"/>
      <c r="S1217" s="30"/>
    </row>
    <row r="1218" spans="1:19" x14ac:dyDescent="0.35">
      <c r="A1218" s="81"/>
      <c r="B1218" s="17"/>
      <c r="C1218" s="17"/>
      <c r="D1218" s="17"/>
      <c r="E1218" s="17"/>
      <c r="F1218" s="17"/>
      <c r="G1218" s="17"/>
      <c r="H1218" s="17"/>
      <c r="I1218" s="17"/>
      <c r="J1218" s="17"/>
      <c r="K1218" s="17"/>
      <c r="L1218" s="17"/>
      <c r="M1218" s="17"/>
      <c r="N1218" s="17"/>
      <c r="O1218" s="17"/>
      <c r="P1218" s="17"/>
      <c r="Q1218" s="17"/>
      <c r="R1218" s="18"/>
    </row>
    <row r="1219" spans="1:19" x14ac:dyDescent="0.35">
      <c r="A1219" s="82"/>
      <c r="B1219" s="19"/>
      <c r="C1219" s="19"/>
      <c r="D1219" s="19"/>
      <c r="E1219" s="19"/>
      <c r="F1219" s="19"/>
      <c r="G1219" s="19"/>
      <c r="H1219" s="19"/>
      <c r="I1219" s="19"/>
      <c r="J1219" s="19"/>
      <c r="K1219" s="19"/>
      <c r="L1219" s="19"/>
      <c r="M1219" s="19"/>
      <c r="N1219" s="19"/>
      <c r="O1219" s="19"/>
      <c r="P1219" s="19"/>
      <c r="Q1219" s="19"/>
      <c r="R1219" s="20"/>
    </row>
    <row r="1220" spans="1:19" x14ac:dyDescent="0.35">
      <c r="A1220" s="82"/>
      <c r="B1220" s="19"/>
      <c r="C1220" s="19"/>
      <c r="D1220" s="19"/>
      <c r="E1220" s="19"/>
      <c r="F1220" s="19"/>
      <c r="G1220" s="19"/>
      <c r="H1220" s="19"/>
      <c r="I1220" s="19"/>
      <c r="J1220" s="19"/>
      <c r="K1220" s="19"/>
      <c r="L1220" s="19"/>
      <c r="M1220" s="19"/>
      <c r="N1220" s="19"/>
      <c r="O1220" s="19"/>
      <c r="P1220" s="19"/>
      <c r="Q1220" s="19"/>
      <c r="R1220" s="20"/>
    </row>
    <row r="1221" spans="1:19" x14ac:dyDescent="0.35">
      <c r="A1221" s="81"/>
      <c r="B1221" s="17"/>
      <c r="C1221" s="17"/>
      <c r="D1221" s="17"/>
      <c r="E1221" s="17"/>
      <c r="F1221" s="17"/>
      <c r="G1221" s="17"/>
      <c r="H1221" s="17"/>
      <c r="I1221" s="17"/>
      <c r="J1221" s="17"/>
      <c r="K1221" s="17"/>
      <c r="L1221" s="17"/>
      <c r="M1221" s="17"/>
      <c r="N1221" s="17"/>
      <c r="O1221" s="17"/>
      <c r="P1221" s="17"/>
      <c r="Q1221" s="17"/>
      <c r="R1221" s="18"/>
    </row>
    <row r="1222" spans="1:19" x14ac:dyDescent="0.35">
      <c r="A1222" s="82"/>
      <c r="B1222" s="19"/>
      <c r="C1222" s="19"/>
      <c r="D1222" s="19"/>
      <c r="E1222" s="19"/>
      <c r="F1222" s="19"/>
      <c r="G1222" s="19"/>
      <c r="H1222" s="19"/>
      <c r="I1222" s="19"/>
      <c r="J1222" s="19"/>
      <c r="K1222" s="19"/>
      <c r="L1222" s="19"/>
      <c r="M1222" s="19"/>
      <c r="N1222" s="19"/>
      <c r="O1222" s="19"/>
      <c r="P1222" s="19"/>
      <c r="Q1222" s="19"/>
      <c r="R1222" s="20"/>
    </row>
    <row r="1223" spans="1:19" x14ac:dyDescent="0.35">
      <c r="A1223" s="82"/>
      <c r="B1223" s="19"/>
      <c r="C1223" s="19"/>
      <c r="D1223" s="19"/>
      <c r="E1223" s="19"/>
      <c r="F1223" s="19"/>
      <c r="G1223" s="19"/>
      <c r="H1223" s="19"/>
      <c r="I1223" s="19"/>
      <c r="J1223" s="19"/>
      <c r="K1223" s="19"/>
      <c r="L1223" s="19"/>
      <c r="M1223" s="19"/>
      <c r="N1223" s="19"/>
      <c r="O1223" s="19"/>
      <c r="P1223" s="19"/>
      <c r="Q1223" s="19"/>
      <c r="R1223" s="20"/>
    </row>
    <row r="1224" spans="1:19" x14ac:dyDescent="0.35">
      <c r="A1224" s="82"/>
      <c r="B1224" s="19"/>
      <c r="C1224" s="19"/>
      <c r="D1224" s="19"/>
      <c r="E1224" s="19"/>
      <c r="F1224" s="19"/>
      <c r="G1224" s="19"/>
      <c r="H1224" s="19"/>
      <c r="I1224" s="19"/>
      <c r="J1224" s="19"/>
      <c r="K1224" s="19"/>
      <c r="L1224" s="19"/>
      <c r="M1224" s="19"/>
      <c r="N1224" s="19"/>
      <c r="O1224" s="19"/>
      <c r="P1224" s="19"/>
      <c r="Q1224" s="19"/>
      <c r="R1224" s="20"/>
    </row>
    <row r="1225" spans="1:19" x14ac:dyDescent="0.35">
      <c r="A1225" s="82"/>
      <c r="B1225" s="19"/>
      <c r="C1225" s="19"/>
      <c r="D1225" s="19"/>
      <c r="E1225" s="19"/>
      <c r="F1225" s="19"/>
      <c r="G1225" s="19"/>
      <c r="H1225" s="19"/>
      <c r="I1225" s="19"/>
      <c r="J1225" s="19"/>
      <c r="K1225" s="19"/>
      <c r="L1225" s="19"/>
      <c r="M1225" s="19"/>
      <c r="N1225" s="19"/>
      <c r="O1225" s="19"/>
      <c r="P1225" s="19"/>
      <c r="Q1225" s="19"/>
      <c r="R1225" s="20"/>
    </row>
    <row r="1226" spans="1:19" x14ac:dyDescent="0.35">
      <c r="A1226" s="81"/>
      <c r="B1226" s="17"/>
      <c r="C1226" s="17"/>
      <c r="D1226" s="17"/>
      <c r="E1226" s="17"/>
      <c r="F1226" s="17"/>
      <c r="G1226" s="17"/>
      <c r="H1226" s="17"/>
      <c r="I1226" s="17"/>
      <c r="J1226" s="17"/>
      <c r="K1226" s="17"/>
      <c r="L1226" s="17"/>
      <c r="M1226" s="17"/>
      <c r="N1226" s="17"/>
      <c r="O1226" s="17"/>
      <c r="P1226" s="17"/>
      <c r="Q1226" s="17"/>
      <c r="R1226" s="18"/>
      <c r="S1226" s="30"/>
    </row>
    <row r="1227" spans="1:19" x14ac:dyDescent="0.35">
      <c r="A1227" s="81"/>
      <c r="B1227" s="17"/>
      <c r="C1227" s="17"/>
      <c r="D1227" s="17"/>
      <c r="E1227" s="17"/>
      <c r="F1227" s="17"/>
      <c r="G1227" s="17"/>
      <c r="H1227" s="17"/>
      <c r="I1227" s="17"/>
      <c r="J1227" s="17"/>
      <c r="K1227" s="17"/>
      <c r="L1227" s="17"/>
      <c r="M1227" s="17"/>
      <c r="N1227" s="17"/>
      <c r="O1227" s="17"/>
      <c r="P1227" s="17"/>
      <c r="Q1227" s="17"/>
      <c r="R1227" s="18"/>
    </row>
    <row r="1228" spans="1:19" x14ac:dyDescent="0.35">
      <c r="A1228" s="81"/>
      <c r="B1228" s="17"/>
      <c r="C1228" s="17"/>
      <c r="D1228" s="17"/>
      <c r="E1228" s="17"/>
      <c r="F1228" s="17"/>
      <c r="G1228" s="17"/>
      <c r="H1228" s="17"/>
      <c r="I1228" s="17"/>
      <c r="J1228" s="17"/>
      <c r="K1228" s="17"/>
      <c r="L1228" s="17"/>
      <c r="M1228" s="17"/>
      <c r="N1228" s="17"/>
      <c r="O1228" s="17"/>
      <c r="P1228" s="17"/>
      <c r="Q1228" s="17"/>
      <c r="R1228" s="18"/>
      <c r="S1228" s="30"/>
    </row>
    <row r="1229" spans="1:19" x14ac:dyDescent="0.35">
      <c r="A1229" s="82"/>
      <c r="B1229" s="19"/>
      <c r="C1229" s="19"/>
      <c r="D1229" s="19"/>
      <c r="E1229" s="19"/>
      <c r="F1229" s="19"/>
      <c r="G1229" s="19"/>
      <c r="H1229" s="19"/>
      <c r="I1229" s="19"/>
      <c r="J1229" s="19"/>
      <c r="K1229" s="19"/>
      <c r="L1229" s="19"/>
      <c r="M1229" s="19"/>
      <c r="N1229" s="19"/>
      <c r="O1229" s="19"/>
      <c r="P1229" s="19"/>
      <c r="Q1229" s="19"/>
      <c r="R1229" s="20"/>
    </row>
    <row r="1230" spans="1:19" x14ac:dyDescent="0.35">
      <c r="A1230" s="82"/>
      <c r="B1230" s="19"/>
      <c r="C1230" s="19"/>
      <c r="D1230" s="19"/>
      <c r="E1230" s="19"/>
      <c r="F1230" s="19"/>
      <c r="G1230" s="19"/>
      <c r="H1230" s="19"/>
      <c r="I1230" s="19"/>
      <c r="J1230" s="19"/>
      <c r="K1230" s="19"/>
      <c r="L1230" s="19"/>
      <c r="M1230" s="19"/>
      <c r="N1230" s="19"/>
      <c r="O1230" s="19"/>
      <c r="P1230" s="19"/>
      <c r="Q1230" s="19"/>
      <c r="R1230" s="20"/>
    </row>
    <row r="1231" spans="1:19" x14ac:dyDescent="0.35">
      <c r="A1231" s="81"/>
      <c r="B1231" s="17"/>
      <c r="C1231" s="17"/>
      <c r="D1231" s="17"/>
      <c r="E1231" s="17"/>
      <c r="F1231" s="17"/>
      <c r="G1231" s="17"/>
      <c r="H1231" s="17"/>
      <c r="I1231" s="17"/>
      <c r="J1231" s="17"/>
      <c r="K1231" s="17"/>
      <c r="L1231" s="17"/>
      <c r="M1231" s="17"/>
      <c r="N1231" s="17"/>
      <c r="O1231" s="17"/>
      <c r="P1231" s="17"/>
      <c r="Q1231" s="17"/>
      <c r="R1231" s="18"/>
      <c r="S1231" s="30"/>
    </row>
    <row r="1232" spans="1:19" x14ac:dyDescent="0.35">
      <c r="A1232" s="82"/>
      <c r="B1232" s="19"/>
      <c r="C1232" s="19"/>
      <c r="D1232" s="19"/>
      <c r="E1232" s="19"/>
      <c r="F1232" s="19"/>
      <c r="G1232" s="19"/>
      <c r="H1232" s="19"/>
      <c r="I1232" s="19"/>
      <c r="J1232" s="19"/>
      <c r="K1232" s="19"/>
      <c r="L1232" s="19"/>
      <c r="M1232" s="19"/>
      <c r="N1232" s="19"/>
      <c r="O1232" s="19"/>
      <c r="P1232" s="19"/>
      <c r="Q1232" s="19"/>
      <c r="R1232" s="20"/>
    </row>
    <row r="1233" spans="1:19" x14ac:dyDescent="0.35">
      <c r="A1233" s="82"/>
      <c r="B1233" s="19"/>
      <c r="C1233" s="19"/>
      <c r="D1233" s="19"/>
      <c r="E1233" s="19"/>
      <c r="F1233" s="19"/>
      <c r="G1233" s="19"/>
      <c r="H1233" s="19"/>
      <c r="I1233" s="19"/>
      <c r="J1233" s="19"/>
      <c r="K1233" s="19"/>
      <c r="L1233" s="19"/>
      <c r="M1233" s="19"/>
      <c r="N1233" s="19"/>
      <c r="O1233" s="19"/>
      <c r="P1233" s="19"/>
      <c r="Q1233" s="19"/>
      <c r="R1233" s="20"/>
    </row>
    <row r="1234" spans="1:19" x14ac:dyDescent="0.35">
      <c r="A1234" s="82"/>
      <c r="B1234" s="19"/>
      <c r="C1234" s="19"/>
      <c r="D1234" s="19"/>
      <c r="E1234" s="19"/>
      <c r="F1234" s="19"/>
      <c r="G1234" s="19"/>
      <c r="H1234" s="19"/>
      <c r="I1234" s="19"/>
      <c r="J1234" s="19"/>
      <c r="K1234" s="19"/>
      <c r="L1234" s="19"/>
      <c r="M1234" s="19"/>
      <c r="N1234" s="19"/>
      <c r="O1234" s="19"/>
      <c r="P1234" s="19"/>
      <c r="Q1234" s="19"/>
      <c r="R1234" s="20"/>
    </row>
    <row r="1235" spans="1:19" x14ac:dyDescent="0.35">
      <c r="A1235" s="82"/>
      <c r="B1235" s="19"/>
      <c r="C1235" s="19"/>
      <c r="D1235" s="19"/>
      <c r="E1235" s="19"/>
      <c r="F1235" s="19"/>
      <c r="G1235" s="19"/>
      <c r="H1235" s="19"/>
      <c r="I1235" s="19"/>
      <c r="J1235" s="19"/>
      <c r="K1235" s="19"/>
      <c r="L1235" s="19"/>
      <c r="M1235" s="19"/>
      <c r="N1235" s="19"/>
      <c r="O1235" s="19"/>
      <c r="P1235" s="19"/>
      <c r="Q1235" s="19"/>
      <c r="R1235" s="20"/>
    </row>
    <row r="1236" spans="1:19" x14ac:dyDescent="0.35">
      <c r="A1236" s="82"/>
      <c r="B1236" s="19"/>
      <c r="C1236" s="19"/>
      <c r="D1236" s="19"/>
      <c r="E1236" s="19"/>
      <c r="F1236" s="19"/>
      <c r="G1236" s="19"/>
      <c r="H1236" s="19"/>
      <c r="I1236" s="19"/>
      <c r="J1236" s="19"/>
      <c r="K1236" s="19"/>
      <c r="L1236" s="19"/>
      <c r="M1236" s="19"/>
      <c r="N1236" s="19"/>
      <c r="O1236" s="19"/>
      <c r="P1236" s="19"/>
      <c r="Q1236" s="19"/>
      <c r="R1236" s="20"/>
    </row>
    <row r="1237" spans="1:19" x14ac:dyDescent="0.35">
      <c r="A1237" s="82"/>
      <c r="B1237" s="19"/>
      <c r="C1237" s="19"/>
      <c r="D1237" s="19"/>
      <c r="E1237" s="19"/>
      <c r="F1237" s="19"/>
      <c r="G1237" s="19"/>
      <c r="H1237" s="19"/>
      <c r="I1237" s="19"/>
      <c r="J1237" s="19"/>
      <c r="K1237" s="19"/>
      <c r="L1237" s="19"/>
      <c r="M1237" s="19"/>
      <c r="N1237" s="19"/>
      <c r="O1237" s="19"/>
      <c r="P1237" s="19"/>
      <c r="Q1237" s="19"/>
      <c r="R1237" s="20"/>
      <c r="S1237" s="30"/>
    </row>
    <row r="1238" spans="1:19" x14ac:dyDescent="0.35">
      <c r="A1238" s="82"/>
      <c r="B1238" s="19"/>
      <c r="C1238" s="19"/>
      <c r="D1238" s="19"/>
      <c r="E1238" s="19"/>
      <c r="F1238" s="19"/>
      <c r="G1238" s="19"/>
      <c r="H1238" s="19"/>
      <c r="I1238" s="19"/>
      <c r="J1238" s="19"/>
      <c r="K1238" s="19"/>
      <c r="L1238" s="19"/>
      <c r="M1238" s="19"/>
      <c r="N1238" s="19"/>
      <c r="O1238" s="19"/>
      <c r="P1238" s="19"/>
      <c r="Q1238" s="19"/>
      <c r="R1238" s="20"/>
    </row>
    <row r="1239" spans="1:19" x14ac:dyDescent="0.35">
      <c r="A1239" s="82"/>
      <c r="B1239" s="19"/>
      <c r="C1239" s="19"/>
      <c r="D1239" s="19"/>
      <c r="E1239" s="19"/>
      <c r="F1239" s="19"/>
      <c r="G1239" s="19"/>
      <c r="H1239" s="19"/>
      <c r="I1239" s="19"/>
      <c r="J1239" s="19"/>
      <c r="K1239" s="19"/>
      <c r="L1239" s="19"/>
      <c r="M1239" s="19"/>
      <c r="N1239" s="19"/>
      <c r="O1239" s="19"/>
      <c r="P1239" s="19"/>
      <c r="Q1239" s="19"/>
      <c r="R1239" s="20"/>
    </row>
    <row r="1240" spans="1:19" x14ac:dyDescent="0.35">
      <c r="A1240" s="82"/>
      <c r="B1240" s="19"/>
      <c r="C1240" s="19"/>
      <c r="D1240" s="19"/>
      <c r="E1240" s="19"/>
      <c r="F1240" s="19"/>
      <c r="G1240" s="19"/>
      <c r="H1240" s="19"/>
      <c r="I1240" s="19"/>
      <c r="J1240" s="19"/>
      <c r="K1240" s="19"/>
      <c r="L1240" s="19"/>
      <c r="M1240" s="19"/>
      <c r="N1240" s="19"/>
      <c r="O1240" s="19"/>
      <c r="P1240" s="19"/>
      <c r="Q1240" s="19"/>
      <c r="R1240" s="20"/>
    </row>
    <row r="1241" spans="1:19" x14ac:dyDescent="0.35">
      <c r="A1241" s="81"/>
      <c r="B1241" s="17"/>
      <c r="C1241" s="17"/>
      <c r="D1241" s="17"/>
      <c r="E1241" s="17"/>
      <c r="F1241" s="17"/>
      <c r="G1241" s="17"/>
      <c r="H1241" s="17"/>
      <c r="I1241" s="17"/>
      <c r="J1241" s="17"/>
      <c r="K1241" s="17"/>
      <c r="L1241" s="19"/>
      <c r="M1241" s="19"/>
      <c r="N1241" s="19"/>
      <c r="O1241" s="17"/>
      <c r="P1241" s="17"/>
      <c r="Q1241" s="17"/>
      <c r="R1241" s="18"/>
    </row>
    <row r="1242" spans="1:19" x14ac:dyDescent="0.35">
      <c r="A1242" s="81"/>
      <c r="B1242" s="17"/>
      <c r="C1242" s="17"/>
      <c r="D1242" s="17"/>
      <c r="E1242" s="17"/>
      <c r="F1242" s="17"/>
      <c r="G1242" s="17"/>
      <c r="H1242" s="17"/>
      <c r="I1242" s="17"/>
      <c r="J1242" s="17"/>
      <c r="K1242" s="17"/>
      <c r="L1242" s="17"/>
      <c r="M1242" s="17"/>
      <c r="N1242" s="17"/>
      <c r="O1242" s="17"/>
      <c r="P1242" s="17"/>
      <c r="Q1242" s="30"/>
      <c r="R1242" s="18"/>
    </row>
    <row r="1243" spans="1:19" x14ac:dyDescent="0.35">
      <c r="A1243" s="82"/>
      <c r="B1243" s="19"/>
      <c r="C1243" s="19"/>
      <c r="D1243" s="19"/>
      <c r="E1243" s="19"/>
      <c r="F1243" s="19"/>
      <c r="G1243" s="19"/>
      <c r="H1243" s="19"/>
      <c r="I1243" s="19"/>
      <c r="J1243" s="19"/>
      <c r="K1243" s="19"/>
      <c r="L1243" s="19"/>
      <c r="M1243" s="19"/>
      <c r="N1243" s="19"/>
      <c r="O1243" s="19"/>
      <c r="P1243" s="19"/>
      <c r="R1243" s="20"/>
    </row>
    <row r="1244" spans="1:19" x14ac:dyDescent="0.35">
      <c r="A1244" s="81"/>
      <c r="B1244" s="17"/>
      <c r="C1244" s="17"/>
      <c r="D1244" s="17"/>
      <c r="E1244" s="17"/>
      <c r="F1244" s="17"/>
      <c r="G1244" s="17"/>
      <c r="H1244" s="17"/>
      <c r="I1244" s="17"/>
      <c r="J1244" s="17"/>
      <c r="K1244" s="17"/>
      <c r="L1244" s="17"/>
      <c r="M1244" s="17"/>
      <c r="N1244" s="17"/>
      <c r="O1244" s="17"/>
      <c r="P1244" s="17"/>
      <c r="Q1244" s="30"/>
      <c r="R1244" s="18"/>
    </row>
    <row r="1245" spans="1:19" x14ac:dyDescent="0.35">
      <c r="A1245" s="82"/>
      <c r="B1245" s="19"/>
      <c r="C1245" s="19"/>
      <c r="D1245" s="19"/>
      <c r="E1245" s="19"/>
      <c r="F1245" s="19"/>
      <c r="G1245" s="19"/>
      <c r="H1245" s="19"/>
      <c r="I1245" s="19"/>
      <c r="J1245" s="19"/>
      <c r="K1245" s="19"/>
      <c r="L1245" s="19"/>
      <c r="M1245" s="19"/>
      <c r="N1245" s="19"/>
      <c r="O1245" s="19"/>
      <c r="P1245" s="19"/>
      <c r="R1245" s="20"/>
    </row>
    <row r="1246" spans="1:19" x14ac:dyDescent="0.35">
      <c r="A1246" s="82"/>
      <c r="B1246" s="19"/>
      <c r="C1246" s="19"/>
      <c r="D1246" s="19"/>
      <c r="E1246" s="19"/>
      <c r="F1246" s="19"/>
      <c r="G1246" s="19"/>
      <c r="H1246" s="19"/>
      <c r="I1246" s="19"/>
      <c r="J1246" s="19"/>
      <c r="K1246" s="19"/>
      <c r="L1246" s="19"/>
      <c r="M1246" s="19"/>
      <c r="N1246" s="19"/>
      <c r="O1246" s="19"/>
      <c r="P1246" s="19"/>
      <c r="R1246" s="20"/>
    </row>
    <row r="1247" spans="1:19" x14ac:dyDescent="0.35">
      <c r="A1247" s="82"/>
      <c r="B1247" s="19"/>
      <c r="C1247" s="19"/>
      <c r="D1247" s="19"/>
      <c r="E1247" s="19"/>
      <c r="F1247" s="19"/>
      <c r="G1247" s="19"/>
      <c r="H1247" s="19"/>
      <c r="I1247" s="19"/>
      <c r="J1247" s="19"/>
      <c r="K1247" s="19"/>
      <c r="L1247" s="19"/>
      <c r="M1247" s="19"/>
      <c r="N1247" s="19"/>
      <c r="O1247" s="19"/>
      <c r="P1247" s="19"/>
      <c r="Q1247" s="19"/>
      <c r="R1247" s="20"/>
    </row>
    <row r="1248" spans="1:19" x14ac:dyDescent="0.35">
      <c r="A1248" s="82"/>
      <c r="B1248" s="19"/>
      <c r="C1248" s="19"/>
      <c r="D1248" s="19"/>
      <c r="E1248" s="19"/>
      <c r="F1248" s="19"/>
      <c r="G1248" s="19"/>
      <c r="H1248" s="19"/>
      <c r="I1248" s="19"/>
      <c r="J1248" s="19"/>
      <c r="K1248" s="19"/>
      <c r="L1248" s="19"/>
      <c r="M1248" s="19"/>
      <c r="N1248" s="19"/>
      <c r="O1248" s="19"/>
      <c r="P1248" s="19"/>
      <c r="Q1248" s="19"/>
      <c r="R1248" s="20"/>
    </row>
    <row r="1249" spans="1:19" x14ac:dyDescent="0.35">
      <c r="A1249" s="81"/>
      <c r="B1249" s="17"/>
      <c r="C1249" s="17"/>
      <c r="D1249" s="17"/>
      <c r="E1249" s="17"/>
      <c r="F1249" s="17"/>
      <c r="G1249" s="17"/>
      <c r="H1249" s="17"/>
      <c r="I1249" s="17"/>
      <c r="J1249" s="17"/>
      <c r="K1249" s="17"/>
      <c r="L1249" s="17"/>
      <c r="M1249" s="17"/>
      <c r="N1249" s="17"/>
      <c r="O1249" s="17"/>
      <c r="P1249" s="17"/>
      <c r="Q1249" s="17"/>
      <c r="R1249" s="18"/>
      <c r="S1249" s="30"/>
    </row>
    <row r="1250" spans="1:19" x14ac:dyDescent="0.35">
      <c r="A1250" s="81"/>
      <c r="B1250" s="17"/>
      <c r="C1250" s="17"/>
      <c r="D1250" s="17"/>
      <c r="E1250" s="17"/>
      <c r="F1250" s="17"/>
      <c r="G1250" s="17"/>
      <c r="H1250" s="17"/>
      <c r="I1250" s="17"/>
      <c r="J1250" s="17"/>
      <c r="K1250" s="17"/>
      <c r="L1250" s="17"/>
      <c r="M1250" s="17"/>
      <c r="N1250" s="17"/>
      <c r="O1250" s="17"/>
      <c r="P1250" s="17"/>
      <c r="Q1250" s="17"/>
      <c r="R1250" s="18"/>
    </row>
    <row r="1251" spans="1:19" x14ac:dyDescent="0.35">
      <c r="A1251" s="81"/>
      <c r="B1251" s="17"/>
      <c r="C1251" s="17"/>
      <c r="D1251" s="17"/>
      <c r="E1251" s="17"/>
      <c r="F1251" s="17"/>
      <c r="G1251" s="17"/>
      <c r="H1251" s="17"/>
      <c r="I1251" s="17"/>
      <c r="J1251" s="17"/>
      <c r="K1251" s="17"/>
      <c r="L1251" s="17"/>
      <c r="M1251" s="17"/>
      <c r="N1251" s="17"/>
      <c r="O1251" s="17"/>
      <c r="P1251" s="17"/>
      <c r="Q1251" s="17"/>
      <c r="R1251" s="18"/>
      <c r="S1251" s="30"/>
    </row>
    <row r="1252" spans="1:19" x14ac:dyDescent="0.35">
      <c r="A1252" s="82"/>
      <c r="B1252" s="19"/>
      <c r="C1252" s="19"/>
      <c r="D1252" s="19"/>
      <c r="E1252" s="19"/>
      <c r="F1252" s="19"/>
      <c r="G1252" s="19"/>
      <c r="H1252" s="19"/>
      <c r="I1252" s="19"/>
      <c r="J1252" s="19"/>
      <c r="K1252" s="19"/>
      <c r="L1252" s="19"/>
      <c r="M1252" s="19"/>
      <c r="N1252" s="19"/>
      <c r="O1252" s="19"/>
      <c r="P1252" s="19"/>
      <c r="Q1252" s="19"/>
      <c r="R1252" s="20"/>
      <c r="S1252" s="30"/>
    </row>
    <row r="1253" spans="1:19" x14ac:dyDescent="0.35">
      <c r="A1253" s="82"/>
      <c r="B1253" s="19"/>
      <c r="C1253" s="19"/>
      <c r="D1253" s="19"/>
      <c r="E1253" s="19"/>
      <c r="F1253" s="19"/>
      <c r="G1253" s="19"/>
      <c r="H1253" s="19"/>
      <c r="I1253" s="19"/>
      <c r="J1253" s="19"/>
      <c r="K1253" s="19"/>
      <c r="L1253" s="19"/>
      <c r="M1253" s="19"/>
      <c r="N1253" s="19"/>
      <c r="O1253" s="19"/>
      <c r="P1253" s="19"/>
      <c r="Q1253" s="19"/>
      <c r="R1253" s="20"/>
    </row>
    <row r="1254" spans="1:19" x14ac:dyDescent="0.35">
      <c r="A1254" s="82"/>
      <c r="B1254" s="19"/>
      <c r="C1254" s="19"/>
      <c r="D1254" s="19"/>
      <c r="E1254" s="19"/>
      <c r="F1254" s="19"/>
      <c r="G1254" s="19"/>
      <c r="H1254" s="19"/>
      <c r="I1254" s="19"/>
      <c r="J1254" s="19"/>
      <c r="K1254" s="19"/>
      <c r="L1254" s="19"/>
      <c r="M1254" s="19"/>
      <c r="N1254" s="19"/>
      <c r="O1254" s="19"/>
      <c r="P1254" s="19"/>
      <c r="Q1254" s="19"/>
      <c r="R1254" s="20"/>
    </row>
    <row r="1255" spans="1:19" x14ac:dyDescent="0.35">
      <c r="A1255" s="82"/>
      <c r="B1255" s="19"/>
      <c r="C1255" s="19"/>
      <c r="D1255" s="19"/>
      <c r="E1255" s="19"/>
      <c r="F1255" s="19"/>
      <c r="G1255" s="19"/>
      <c r="H1255" s="19"/>
      <c r="I1255" s="19"/>
      <c r="J1255" s="19"/>
      <c r="K1255" s="19"/>
      <c r="L1255" s="19"/>
      <c r="M1255" s="19"/>
      <c r="N1255" s="19"/>
      <c r="O1255" s="19"/>
      <c r="P1255" s="19"/>
      <c r="Q1255" s="19"/>
      <c r="R1255" s="20"/>
    </row>
    <row r="1256" spans="1:19" x14ac:dyDescent="0.35">
      <c r="A1256" s="82"/>
      <c r="B1256" s="19"/>
      <c r="C1256" s="19"/>
      <c r="D1256" s="19"/>
      <c r="E1256" s="19"/>
      <c r="F1256" s="19"/>
      <c r="G1256" s="19"/>
      <c r="H1256" s="19"/>
      <c r="I1256" s="19"/>
      <c r="J1256" s="19"/>
      <c r="K1256" s="19"/>
      <c r="L1256" s="19"/>
      <c r="M1256" s="19"/>
      <c r="N1256" s="19"/>
      <c r="O1256" s="19"/>
      <c r="P1256" s="19"/>
      <c r="Q1256" s="19"/>
      <c r="R1256" s="20"/>
    </row>
    <row r="1257" spans="1:19" x14ac:dyDescent="0.35">
      <c r="A1257" s="82"/>
      <c r="B1257" s="19"/>
      <c r="C1257" s="19"/>
      <c r="D1257" s="19"/>
      <c r="E1257" s="19"/>
      <c r="F1257" s="19"/>
      <c r="G1257" s="19"/>
      <c r="H1257" s="19"/>
      <c r="I1257" s="19"/>
      <c r="J1257" s="19"/>
      <c r="K1257" s="19"/>
      <c r="L1257" s="19"/>
      <c r="M1257" s="19"/>
      <c r="N1257" s="19"/>
      <c r="O1257" s="19"/>
      <c r="P1257" s="19"/>
      <c r="Q1257" s="19"/>
      <c r="R1257" s="20"/>
    </row>
    <row r="1258" spans="1:19" x14ac:dyDescent="0.35">
      <c r="A1258" s="82"/>
      <c r="B1258" s="19"/>
      <c r="C1258" s="19"/>
      <c r="D1258" s="19"/>
      <c r="E1258" s="19"/>
      <c r="F1258" s="19"/>
      <c r="G1258" s="19"/>
      <c r="H1258" s="19"/>
      <c r="I1258" s="19"/>
      <c r="J1258" s="19"/>
      <c r="K1258" s="19"/>
      <c r="L1258" s="19"/>
      <c r="M1258" s="19"/>
      <c r="N1258" s="19"/>
      <c r="O1258" s="19"/>
      <c r="P1258" s="19"/>
      <c r="Q1258" s="19"/>
      <c r="R1258" s="20"/>
    </row>
    <row r="1259" spans="1:19" x14ac:dyDescent="0.35">
      <c r="A1259" s="82"/>
      <c r="B1259" s="19"/>
      <c r="C1259" s="19"/>
      <c r="D1259" s="19"/>
      <c r="E1259" s="19"/>
      <c r="F1259" s="19"/>
      <c r="G1259" s="19"/>
      <c r="H1259" s="19"/>
      <c r="I1259" s="19"/>
      <c r="J1259" s="19"/>
      <c r="K1259" s="19"/>
      <c r="L1259" s="19"/>
      <c r="M1259" s="19"/>
      <c r="N1259" s="19"/>
      <c r="O1259" s="19"/>
      <c r="P1259" s="19"/>
      <c r="Q1259" s="19"/>
      <c r="R1259" s="20"/>
    </row>
    <row r="1260" spans="1:19" x14ac:dyDescent="0.35">
      <c r="A1260" s="82"/>
      <c r="B1260" s="19"/>
      <c r="C1260" s="19"/>
      <c r="D1260" s="19"/>
      <c r="E1260" s="19"/>
      <c r="F1260" s="19"/>
      <c r="G1260" s="19"/>
      <c r="H1260" s="19"/>
      <c r="I1260" s="19"/>
      <c r="J1260" s="19"/>
      <c r="K1260" s="19"/>
      <c r="L1260" s="19"/>
      <c r="M1260" s="19"/>
      <c r="N1260" s="19"/>
      <c r="O1260" s="19"/>
      <c r="P1260" s="19"/>
      <c r="Q1260" s="19"/>
      <c r="R1260" s="20"/>
    </row>
    <row r="1261" spans="1:19" x14ac:dyDescent="0.35">
      <c r="A1261" s="82"/>
      <c r="B1261" s="19"/>
      <c r="C1261" s="19"/>
      <c r="D1261" s="19"/>
      <c r="E1261" s="19"/>
      <c r="F1261" s="19"/>
      <c r="G1261" s="19"/>
      <c r="H1261" s="19"/>
      <c r="I1261" s="19"/>
      <c r="J1261" s="19"/>
      <c r="K1261" s="19"/>
      <c r="L1261" s="19"/>
      <c r="M1261" s="19"/>
      <c r="N1261" s="19"/>
      <c r="O1261" s="19"/>
      <c r="P1261" s="19"/>
      <c r="Q1261" s="19"/>
      <c r="R1261" s="20"/>
    </row>
    <row r="1262" spans="1:19" x14ac:dyDescent="0.35">
      <c r="A1262" s="82"/>
      <c r="B1262" s="19"/>
      <c r="C1262" s="19"/>
      <c r="D1262" s="19"/>
      <c r="E1262" s="19"/>
      <c r="F1262" s="19"/>
      <c r="G1262" s="19"/>
      <c r="H1262" s="19"/>
      <c r="I1262" s="19"/>
      <c r="J1262" s="19"/>
      <c r="K1262" s="19"/>
      <c r="L1262" s="19"/>
      <c r="M1262" s="19"/>
      <c r="N1262" s="19"/>
      <c r="O1262" s="19"/>
      <c r="P1262" s="19"/>
      <c r="Q1262" s="19"/>
      <c r="R1262" s="20"/>
    </row>
    <row r="1263" spans="1:19" x14ac:dyDescent="0.35">
      <c r="A1263" s="81"/>
      <c r="B1263" s="17"/>
      <c r="C1263" s="17"/>
      <c r="D1263" s="17"/>
      <c r="E1263" s="17"/>
      <c r="F1263" s="17"/>
      <c r="G1263" s="17"/>
      <c r="H1263" s="17"/>
      <c r="I1263" s="17"/>
      <c r="J1263" s="17"/>
      <c r="K1263" s="17"/>
      <c r="L1263" s="17"/>
      <c r="M1263" s="17"/>
      <c r="N1263" s="17"/>
      <c r="O1263" s="17"/>
      <c r="P1263" s="17"/>
      <c r="Q1263" s="17"/>
      <c r="R1263" s="18"/>
      <c r="S1263" s="30"/>
    </row>
    <row r="1264" spans="1:19" x14ac:dyDescent="0.35">
      <c r="A1264" s="82"/>
      <c r="B1264" s="19"/>
      <c r="C1264" s="19"/>
      <c r="D1264" s="19"/>
      <c r="E1264" s="19"/>
      <c r="F1264" s="19"/>
      <c r="G1264" s="19"/>
      <c r="H1264" s="19"/>
      <c r="I1264" s="19"/>
      <c r="J1264" s="19"/>
      <c r="K1264" s="19"/>
      <c r="L1264" s="19"/>
      <c r="M1264" s="19"/>
      <c r="N1264" s="19"/>
      <c r="O1264" s="19"/>
      <c r="P1264" s="19"/>
      <c r="Q1264" s="19"/>
      <c r="R1264" s="20"/>
    </row>
    <row r="1265" spans="1:19" x14ac:dyDescent="0.35">
      <c r="A1265" s="81"/>
      <c r="B1265" s="17"/>
      <c r="C1265" s="17"/>
      <c r="D1265" s="17"/>
      <c r="E1265" s="17"/>
      <c r="F1265" s="17"/>
      <c r="G1265" s="17"/>
      <c r="H1265" s="17"/>
      <c r="I1265" s="17"/>
      <c r="J1265" s="17"/>
      <c r="K1265" s="17"/>
      <c r="L1265" s="17"/>
      <c r="M1265" s="17"/>
      <c r="N1265" s="17"/>
      <c r="O1265" s="17"/>
      <c r="P1265" s="17"/>
      <c r="Q1265" s="17"/>
      <c r="R1265" s="18"/>
    </row>
    <row r="1266" spans="1:19" x14ac:dyDescent="0.35">
      <c r="A1266" s="81"/>
      <c r="B1266" s="17"/>
      <c r="C1266" s="17"/>
      <c r="D1266" s="17"/>
      <c r="E1266" s="17"/>
      <c r="F1266" s="17"/>
      <c r="G1266" s="17"/>
      <c r="H1266" s="17"/>
      <c r="I1266" s="17"/>
      <c r="J1266" s="17"/>
      <c r="K1266" s="17"/>
      <c r="L1266" s="17"/>
      <c r="M1266" s="17"/>
      <c r="N1266" s="17"/>
      <c r="O1266" s="17"/>
      <c r="P1266" s="17"/>
      <c r="Q1266" s="17"/>
      <c r="R1266" s="18"/>
    </row>
    <row r="1267" spans="1:19" x14ac:dyDescent="0.35">
      <c r="A1267" s="82"/>
      <c r="B1267" s="19"/>
      <c r="C1267" s="19"/>
      <c r="D1267" s="19"/>
      <c r="E1267" s="19"/>
      <c r="F1267" s="19"/>
      <c r="G1267" s="19"/>
      <c r="H1267" s="19"/>
      <c r="I1267" s="19"/>
      <c r="J1267" s="19"/>
      <c r="K1267" s="19"/>
      <c r="L1267" s="19"/>
      <c r="M1267" s="19"/>
      <c r="N1267" s="19"/>
      <c r="O1267" s="19"/>
      <c r="P1267" s="19"/>
      <c r="Q1267" s="19"/>
      <c r="R1267" s="20"/>
    </row>
    <row r="1268" spans="1:19" x14ac:dyDescent="0.35">
      <c r="A1268" s="81"/>
      <c r="B1268" s="17"/>
      <c r="C1268" s="17"/>
      <c r="D1268" s="17"/>
      <c r="E1268" s="17"/>
      <c r="F1268" s="17"/>
      <c r="G1268" s="17"/>
      <c r="H1268" s="17"/>
      <c r="I1268" s="17"/>
      <c r="J1268" s="17"/>
      <c r="K1268" s="17"/>
      <c r="L1268" s="17"/>
      <c r="M1268" s="17"/>
      <c r="N1268" s="17"/>
      <c r="O1268" s="17"/>
      <c r="P1268" s="17"/>
      <c r="Q1268" s="17"/>
      <c r="R1268" s="18"/>
      <c r="S1268" s="30"/>
    </row>
    <row r="1269" spans="1:19" x14ac:dyDescent="0.35">
      <c r="A1269" s="82"/>
      <c r="B1269" s="19"/>
      <c r="C1269" s="19"/>
      <c r="D1269" s="19"/>
      <c r="E1269" s="19"/>
      <c r="F1269" s="19"/>
      <c r="G1269" s="19"/>
      <c r="H1269" s="19"/>
      <c r="I1269" s="19"/>
      <c r="J1269" s="19"/>
      <c r="K1269" s="19"/>
      <c r="L1269" s="19"/>
      <c r="M1269" s="19"/>
      <c r="N1269" s="19"/>
      <c r="O1269" s="19"/>
      <c r="P1269" s="19"/>
      <c r="Q1269" s="19"/>
      <c r="R1269" s="20"/>
    </row>
    <row r="1270" spans="1:19" x14ac:dyDescent="0.35">
      <c r="A1270" s="81"/>
      <c r="B1270" s="17"/>
      <c r="C1270" s="17"/>
      <c r="D1270" s="17"/>
      <c r="E1270" s="17"/>
      <c r="F1270" s="17"/>
      <c r="G1270" s="17"/>
      <c r="H1270" s="17"/>
      <c r="I1270" s="17"/>
      <c r="J1270" s="17"/>
      <c r="K1270" s="17"/>
      <c r="L1270" s="17"/>
      <c r="M1270" s="17"/>
      <c r="N1270" s="17"/>
      <c r="O1270" s="17"/>
      <c r="P1270" s="17"/>
      <c r="Q1270" s="17"/>
      <c r="R1270" s="18"/>
      <c r="S1270" s="30"/>
    </row>
    <row r="1271" spans="1:19" x14ac:dyDescent="0.35">
      <c r="A1271" s="82"/>
      <c r="B1271" s="19"/>
      <c r="C1271" s="19"/>
      <c r="D1271" s="19"/>
      <c r="E1271" s="19"/>
      <c r="F1271" s="19"/>
      <c r="G1271" s="19"/>
      <c r="H1271" s="19"/>
      <c r="I1271" s="19"/>
      <c r="J1271" s="19"/>
      <c r="K1271" s="19"/>
      <c r="L1271" s="19"/>
      <c r="M1271" s="19"/>
      <c r="N1271" s="19"/>
      <c r="O1271" s="19"/>
      <c r="P1271" s="19"/>
      <c r="Q1271" s="19"/>
      <c r="R1271" s="20"/>
    </row>
    <row r="1272" spans="1:19" x14ac:dyDescent="0.35">
      <c r="A1272" s="81"/>
      <c r="B1272" s="17"/>
      <c r="C1272" s="17"/>
      <c r="D1272" s="17"/>
      <c r="E1272" s="17"/>
      <c r="F1272" s="17"/>
      <c r="G1272" s="17"/>
      <c r="H1272" s="17"/>
      <c r="I1272" s="17"/>
      <c r="J1272" s="17"/>
      <c r="K1272" s="17"/>
      <c r="L1272" s="17"/>
      <c r="M1272" s="17"/>
      <c r="N1272" s="17"/>
      <c r="O1272" s="17"/>
      <c r="P1272" s="17"/>
      <c r="Q1272" s="17"/>
      <c r="R1272" s="18"/>
      <c r="S1272" s="30"/>
    </row>
    <row r="1273" spans="1:19" x14ac:dyDescent="0.35">
      <c r="A1273" s="82"/>
      <c r="B1273" s="19"/>
      <c r="C1273" s="19"/>
      <c r="D1273" s="19"/>
      <c r="E1273" s="19"/>
      <c r="F1273" s="19"/>
      <c r="G1273" s="19"/>
      <c r="H1273" s="19"/>
      <c r="I1273" s="19"/>
      <c r="J1273" s="19"/>
      <c r="K1273" s="19"/>
      <c r="L1273" s="19"/>
      <c r="M1273" s="19"/>
      <c r="N1273" s="19"/>
      <c r="O1273" s="19"/>
      <c r="P1273" s="19"/>
      <c r="Q1273" s="19"/>
      <c r="R1273" s="20"/>
      <c r="S1273" s="30"/>
    </row>
    <row r="1274" spans="1:19" x14ac:dyDescent="0.35">
      <c r="A1274" s="82"/>
      <c r="B1274" s="19"/>
      <c r="C1274" s="19"/>
      <c r="D1274" s="19"/>
      <c r="E1274" s="19"/>
      <c r="F1274" s="19"/>
      <c r="G1274" s="19"/>
      <c r="H1274" s="19"/>
      <c r="I1274" s="19"/>
      <c r="J1274" s="19"/>
      <c r="K1274" s="19"/>
      <c r="L1274" s="19"/>
      <c r="M1274" s="19"/>
      <c r="N1274" s="19"/>
      <c r="O1274" s="19"/>
      <c r="P1274" s="19"/>
      <c r="Q1274" s="19"/>
      <c r="R1274" s="20"/>
    </row>
    <row r="1275" spans="1:19" x14ac:dyDescent="0.35">
      <c r="A1275" s="82"/>
      <c r="B1275" s="19"/>
      <c r="C1275" s="19"/>
      <c r="D1275" s="19"/>
      <c r="E1275" s="19"/>
      <c r="F1275" s="19"/>
      <c r="G1275" s="19"/>
      <c r="H1275" s="19"/>
      <c r="I1275" s="19"/>
      <c r="J1275" s="19"/>
      <c r="K1275" s="19"/>
      <c r="L1275" s="19"/>
      <c r="M1275" s="19"/>
      <c r="N1275" s="19"/>
      <c r="O1275" s="19"/>
      <c r="P1275" s="19"/>
      <c r="Q1275" s="19"/>
      <c r="R1275" s="20"/>
    </row>
    <row r="1276" spans="1:19" x14ac:dyDescent="0.35">
      <c r="A1276" s="82"/>
      <c r="B1276" s="19"/>
      <c r="C1276" s="19"/>
      <c r="D1276" s="19"/>
      <c r="E1276" s="19"/>
      <c r="F1276" s="19"/>
      <c r="G1276" s="19"/>
      <c r="H1276" s="19"/>
      <c r="I1276" s="19"/>
      <c r="J1276" s="19"/>
      <c r="K1276" s="19"/>
      <c r="L1276" s="19"/>
      <c r="M1276" s="19"/>
      <c r="N1276" s="19"/>
      <c r="O1276" s="19"/>
      <c r="P1276" s="19"/>
      <c r="Q1276" s="19"/>
      <c r="R1276" s="20"/>
    </row>
    <row r="1277" spans="1:19" x14ac:dyDescent="0.35">
      <c r="A1277" s="82"/>
      <c r="B1277" s="19"/>
      <c r="C1277" s="19"/>
      <c r="D1277" s="19"/>
      <c r="E1277" s="19"/>
      <c r="F1277" s="19"/>
      <c r="G1277" s="19"/>
      <c r="H1277" s="19"/>
      <c r="I1277" s="19"/>
      <c r="J1277" s="19"/>
      <c r="K1277" s="19"/>
      <c r="L1277" s="19"/>
      <c r="M1277" s="19"/>
      <c r="N1277" s="19"/>
      <c r="O1277" s="19"/>
      <c r="P1277" s="19"/>
      <c r="Q1277" s="19"/>
      <c r="R1277" s="20"/>
    </row>
    <row r="1278" spans="1:19" x14ac:dyDescent="0.35">
      <c r="A1278" s="82"/>
      <c r="B1278" s="19"/>
      <c r="C1278" s="19"/>
      <c r="D1278" s="19"/>
      <c r="E1278" s="19"/>
      <c r="F1278" s="19"/>
      <c r="G1278" s="19"/>
      <c r="H1278" s="19"/>
      <c r="I1278" s="19"/>
      <c r="J1278" s="19"/>
      <c r="K1278" s="19"/>
      <c r="L1278" s="19"/>
      <c r="M1278" s="19"/>
      <c r="N1278" s="19"/>
      <c r="O1278" s="19"/>
      <c r="P1278" s="19"/>
      <c r="Q1278" s="19"/>
      <c r="R1278" s="20"/>
    </row>
    <row r="1279" spans="1:19" x14ac:dyDescent="0.35">
      <c r="A1279" s="82"/>
      <c r="B1279" s="19"/>
      <c r="C1279" s="19"/>
      <c r="D1279" s="19"/>
      <c r="E1279" s="19"/>
      <c r="F1279" s="19"/>
      <c r="G1279" s="19"/>
      <c r="H1279" s="19"/>
      <c r="I1279" s="19"/>
      <c r="J1279" s="19"/>
      <c r="K1279" s="19"/>
      <c r="L1279" s="19"/>
      <c r="M1279" s="19"/>
      <c r="N1279" s="19"/>
      <c r="O1279" s="19"/>
      <c r="P1279" s="19"/>
      <c r="Q1279" s="19"/>
      <c r="R1279" s="20"/>
    </row>
    <row r="1280" spans="1:19" x14ac:dyDescent="0.35">
      <c r="A1280" s="82"/>
      <c r="B1280" s="19"/>
      <c r="C1280" s="19"/>
      <c r="D1280" s="19"/>
      <c r="E1280" s="19"/>
      <c r="F1280" s="19"/>
      <c r="G1280" s="19"/>
      <c r="H1280" s="19"/>
      <c r="I1280" s="19"/>
      <c r="J1280" s="19"/>
      <c r="K1280" s="19"/>
      <c r="L1280" s="19"/>
      <c r="M1280" s="19"/>
      <c r="N1280" s="19"/>
      <c r="O1280" s="19"/>
      <c r="P1280" s="19"/>
      <c r="Q1280" s="19"/>
      <c r="R1280" s="20"/>
    </row>
    <row r="1281" spans="1:19" x14ac:dyDescent="0.35">
      <c r="A1281" s="82"/>
      <c r="B1281" s="19"/>
      <c r="C1281" s="19"/>
      <c r="D1281" s="19"/>
      <c r="E1281" s="19"/>
      <c r="F1281" s="19"/>
      <c r="G1281" s="19"/>
      <c r="H1281" s="19"/>
      <c r="I1281" s="19"/>
      <c r="J1281" s="19"/>
      <c r="K1281" s="19"/>
      <c r="L1281" s="19"/>
      <c r="M1281" s="19"/>
      <c r="N1281" s="19"/>
      <c r="O1281" s="19"/>
      <c r="P1281" s="19"/>
      <c r="Q1281" s="19"/>
      <c r="R1281" s="20"/>
    </row>
    <row r="1282" spans="1:19" x14ac:dyDescent="0.35">
      <c r="A1282" s="82"/>
      <c r="B1282" s="19"/>
      <c r="C1282" s="19"/>
      <c r="D1282" s="19"/>
      <c r="E1282" s="19"/>
      <c r="F1282" s="19"/>
      <c r="G1282" s="19"/>
      <c r="H1282" s="19"/>
      <c r="I1282" s="19"/>
      <c r="J1282" s="19"/>
      <c r="K1282" s="19"/>
      <c r="L1282" s="19"/>
      <c r="M1282" s="19"/>
      <c r="N1282" s="19"/>
      <c r="O1282" s="19"/>
      <c r="P1282" s="19"/>
      <c r="Q1282" s="19"/>
      <c r="R1282" s="20"/>
    </row>
    <row r="1283" spans="1:19" x14ac:dyDescent="0.35">
      <c r="A1283" s="82"/>
      <c r="B1283" s="19"/>
      <c r="C1283" s="19"/>
      <c r="D1283" s="19"/>
      <c r="E1283" s="19"/>
      <c r="F1283" s="19"/>
      <c r="G1283" s="19"/>
      <c r="H1283" s="19"/>
      <c r="I1283" s="19"/>
      <c r="J1283" s="19"/>
      <c r="K1283" s="19"/>
      <c r="L1283" s="19"/>
      <c r="M1283" s="19"/>
      <c r="N1283" s="19"/>
      <c r="O1283" s="19"/>
      <c r="P1283" s="19"/>
      <c r="Q1283" s="19"/>
      <c r="R1283" s="20"/>
    </row>
    <row r="1284" spans="1:19" x14ac:dyDescent="0.35">
      <c r="A1284" s="81"/>
      <c r="B1284" s="17"/>
      <c r="C1284" s="17"/>
      <c r="D1284" s="17"/>
      <c r="E1284" s="17"/>
      <c r="F1284" s="17"/>
      <c r="G1284" s="17"/>
      <c r="H1284" s="17"/>
      <c r="I1284" s="17"/>
      <c r="J1284" s="17"/>
      <c r="K1284" s="17"/>
      <c r="L1284" s="19"/>
      <c r="M1284" s="19"/>
      <c r="N1284" s="19"/>
      <c r="O1284" s="17"/>
      <c r="P1284" s="17"/>
      <c r="Q1284" s="17"/>
      <c r="R1284" s="18"/>
      <c r="S1284" s="30"/>
    </row>
    <row r="1285" spans="1:19" x14ac:dyDescent="0.35">
      <c r="A1285" s="81"/>
      <c r="B1285" s="17"/>
      <c r="C1285" s="17"/>
      <c r="D1285" s="17"/>
      <c r="E1285" s="17"/>
      <c r="F1285" s="17"/>
      <c r="G1285" s="17"/>
      <c r="H1285" s="17"/>
      <c r="I1285" s="17"/>
      <c r="J1285" s="17"/>
      <c r="K1285" s="17"/>
      <c r="L1285" s="17"/>
      <c r="M1285" s="17"/>
      <c r="N1285" s="17"/>
      <c r="O1285" s="17"/>
      <c r="P1285" s="17"/>
      <c r="Q1285" s="17"/>
      <c r="R1285" s="18"/>
    </row>
    <row r="1286" spans="1:19" x14ac:dyDescent="0.35">
      <c r="A1286" s="81"/>
      <c r="B1286" s="17"/>
      <c r="C1286" s="17"/>
      <c r="D1286" s="17"/>
      <c r="E1286" s="17"/>
      <c r="F1286" s="17"/>
      <c r="G1286" s="17"/>
      <c r="H1286" s="17"/>
      <c r="I1286" s="17"/>
      <c r="J1286" s="17"/>
      <c r="K1286" s="17"/>
      <c r="L1286" s="17"/>
      <c r="M1286" s="17"/>
      <c r="N1286" s="17"/>
      <c r="O1286" s="17"/>
      <c r="P1286" s="17"/>
      <c r="Q1286" s="17"/>
      <c r="R1286" s="18"/>
      <c r="S1286" s="30"/>
    </row>
    <row r="1287" spans="1:19" x14ac:dyDescent="0.35">
      <c r="A1287" s="81"/>
      <c r="B1287" s="17"/>
      <c r="C1287" s="17"/>
      <c r="D1287" s="17"/>
      <c r="E1287" s="17"/>
      <c r="F1287" s="17"/>
      <c r="G1287" s="17"/>
      <c r="H1287" s="17"/>
      <c r="I1287" s="17"/>
      <c r="J1287" s="17"/>
      <c r="K1287" s="17"/>
      <c r="L1287" s="17"/>
      <c r="M1287" s="17"/>
      <c r="N1287" s="17"/>
      <c r="O1287" s="17"/>
      <c r="P1287" s="17"/>
      <c r="Q1287" s="17"/>
      <c r="R1287" s="18"/>
    </row>
    <row r="1288" spans="1:19" x14ac:dyDescent="0.35">
      <c r="A1288" s="82"/>
      <c r="B1288" s="19"/>
      <c r="C1288" s="19"/>
      <c r="D1288" s="19"/>
      <c r="E1288" s="19"/>
      <c r="F1288" s="19"/>
      <c r="G1288" s="19"/>
      <c r="H1288" s="19"/>
      <c r="I1288" s="19"/>
      <c r="J1288" s="19"/>
      <c r="K1288" s="19"/>
      <c r="L1288" s="19"/>
      <c r="M1288" s="19"/>
      <c r="N1288" s="19"/>
      <c r="O1288" s="19"/>
      <c r="P1288" s="19"/>
      <c r="Q1288" s="19"/>
      <c r="R1288" s="20"/>
    </row>
    <row r="1289" spans="1:19" x14ac:dyDescent="0.35">
      <c r="A1289" s="82"/>
      <c r="B1289" s="19"/>
      <c r="C1289" s="19"/>
      <c r="D1289" s="19"/>
      <c r="E1289" s="19"/>
      <c r="F1289" s="19"/>
      <c r="G1289" s="19"/>
      <c r="H1289" s="19"/>
      <c r="I1289" s="19"/>
      <c r="J1289" s="19"/>
      <c r="K1289" s="19"/>
      <c r="L1289" s="19"/>
      <c r="M1289" s="19"/>
      <c r="N1289" s="19"/>
      <c r="O1289" s="19"/>
      <c r="P1289" s="19"/>
      <c r="Q1289" s="19"/>
      <c r="R1289" s="20"/>
    </row>
    <row r="1290" spans="1:19" x14ac:dyDescent="0.35">
      <c r="A1290" s="82"/>
      <c r="B1290" s="19"/>
      <c r="C1290" s="19"/>
      <c r="D1290" s="19"/>
      <c r="E1290" s="19"/>
      <c r="F1290" s="19"/>
      <c r="G1290" s="19"/>
      <c r="H1290" s="19"/>
      <c r="I1290" s="19"/>
      <c r="J1290" s="19"/>
      <c r="K1290" s="19"/>
      <c r="L1290" s="19"/>
      <c r="M1290" s="19"/>
      <c r="N1290" s="19"/>
      <c r="O1290" s="19"/>
      <c r="P1290" s="19"/>
      <c r="Q1290" s="19"/>
      <c r="R1290" s="20"/>
    </row>
    <row r="1291" spans="1:19" x14ac:dyDescent="0.35">
      <c r="A1291" s="82"/>
      <c r="B1291" s="19"/>
      <c r="C1291" s="19"/>
      <c r="D1291" s="19"/>
      <c r="E1291" s="19"/>
      <c r="F1291" s="19"/>
      <c r="G1291" s="19"/>
      <c r="H1291" s="19"/>
      <c r="I1291" s="19"/>
      <c r="J1291" s="19"/>
      <c r="K1291" s="19"/>
      <c r="L1291" s="19"/>
      <c r="M1291" s="19"/>
      <c r="N1291" s="19"/>
      <c r="O1291" s="19"/>
      <c r="P1291" s="19"/>
      <c r="Q1291" s="19"/>
      <c r="R1291" s="20"/>
    </row>
    <row r="1292" spans="1:19" x14ac:dyDescent="0.35">
      <c r="A1292" s="82"/>
      <c r="B1292" s="19"/>
      <c r="C1292" s="19"/>
      <c r="D1292" s="19"/>
      <c r="E1292" s="19"/>
      <c r="F1292" s="19"/>
      <c r="G1292" s="19"/>
      <c r="H1292" s="19"/>
      <c r="I1292" s="19"/>
      <c r="J1292" s="19"/>
      <c r="K1292" s="19"/>
      <c r="L1292" s="19"/>
      <c r="M1292" s="19"/>
      <c r="N1292" s="19"/>
      <c r="O1292" s="19"/>
      <c r="P1292" s="19"/>
      <c r="Q1292" s="19"/>
      <c r="R1292" s="20"/>
    </row>
    <row r="1293" spans="1:19" x14ac:dyDescent="0.35">
      <c r="A1293" s="81"/>
      <c r="B1293" s="17"/>
      <c r="C1293" s="17"/>
      <c r="D1293" s="17"/>
      <c r="E1293" s="17"/>
      <c r="F1293" s="17"/>
      <c r="G1293" s="17"/>
      <c r="H1293" s="17"/>
      <c r="I1293" s="17"/>
      <c r="J1293" s="17"/>
      <c r="K1293" s="17"/>
      <c r="L1293" s="17"/>
      <c r="M1293" s="17"/>
      <c r="N1293" s="17"/>
      <c r="O1293" s="17"/>
      <c r="P1293" s="17"/>
      <c r="Q1293" s="17"/>
      <c r="R1293" s="18"/>
    </row>
    <row r="1294" spans="1:19" x14ac:dyDescent="0.35">
      <c r="A1294" s="82"/>
      <c r="B1294" s="19"/>
      <c r="C1294" s="19"/>
      <c r="D1294" s="19"/>
      <c r="E1294" s="19"/>
      <c r="F1294" s="19"/>
      <c r="G1294" s="19"/>
      <c r="H1294" s="19"/>
      <c r="I1294" s="19"/>
      <c r="J1294" s="19"/>
      <c r="K1294" s="19"/>
      <c r="L1294" s="19"/>
      <c r="M1294" s="19"/>
      <c r="N1294" s="19"/>
      <c r="O1294" s="19"/>
      <c r="P1294" s="19"/>
      <c r="Q1294" s="19"/>
      <c r="R1294" s="20"/>
    </row>
    <row r="1295" spans="1:19" x14ac:dyDescent="0.35">
      <c r="A1295" s="82"/>
      <c r="B1295" s="19"/>
      <c r="C1295" s="19"/>
      <c r="D1295" s="19"/>
      <c r="E1295" s="19"/>
      <c r="F1295" s="19"/>
      <c r="G1295" s="19"/>
      <c r="H1295" s="19"/>
      <c r="I1295" s="19"/>
      <c r="J1295" s="19"/>
      <c r="K1295" s="19"/>
      <c r="L1295" s="19"/>
      <c r="M1295" s="19"/>
      <c r="N1295" s="19"/>
      <c r="O1295" s="19"/>
      <c r="P1295" s="19"/>
      <c r="Q1295" s="19"/>
      <c r="R1295" s="20"/>
    </row>
    <row r="1296" spans="1:19" x14ac:dyDescent="0.35">
      <c r="A1296" s="82"/>
      <c r="B1296" s="19"/>
      <c r="C1296" s="19"/>
      <c r="D1296" s="19"/>
      <c r="E1296" s="19"/>
      <c r="F1296" s="19"/>
      <c r="G1296" s="19"/>
      <c r="H1296" s="19"/>
      <c r="I1296" s="19"/>
      <c r="J1296" s="19"/>
      <c r="K1296" s="19"/>
      <c r="L1296" s="19"/>
      <c r="M1296" s="19"/>
      <c r="N1296" s="19"/>
      <c r="O1296" s="19"/>
      <c r="P1296" s="19"/>
      <c r="Q1296" s="19"/>
      <c r="R1296" s="20"/>
    </row>
    <row r="1297" spans="1:19" x14ac:dyDescent="0.35">
      <c r="A1297" s="82"/>
      <c r="B1297" s="19"/>
      <c r="C1297" s="19"/>
      <c r="D1297" s="19"/>
      <c r="E1297" s="19"/>
      <c r="F1297" s="19"/>
      <c r="G1297" s="19"/>
      <c r="H1297" s="19"/>
      <c r="I1297" s="19"/>
      <c r="J1297" s="19"/>
      <c r="K1297" s="19"/>
      <c r="L1297" s="19"/>
      <c r="M1297" s="19"/>
      <c r="N1297" s="19"/>
      <c r="O1297" s="19"/>
      <c r="P1297" s="19"/>
      <c r="Q1297" s="19"/>
      <c r="R1297" s="20"/>
    </row>
    <row r="1298" spans="1:19" x14ac:dyDescent="0.35">
      <c r="A1298" s="82"/>
      <c r="B1298" s="19"/>
      <c r="C1298" s="19"/>
      <c r="D1298" s="19"/>
      <c r="E1298" s="19"/>
      <c r="F1298" s="19"/>
      <c r="G1298" s="19"/>
      <c r="H1298" s="19"/>
      <c r="I1298" s="19"/>
      <c r="J1298" s="19"/>
      <c r="K1298" s="19"/>
      <c r="L1298" s="19"/>
      <c r="M1298" s="19"/>
      <c r="N1298" s="19"/>
      <c r="O1298" s="19"/>
      <c r="P1298" s="19"/>
      <c r="Q1298" s="19"/>
      <c r="R1298" s="20"/>
    </row>
    <row r="1299" spans="1:19" x14ac:dyDescent="0.35">
      <c r="A1299" s="82"/>
      <c r="B1299" s="19"/>
      <c r="C1299" s="19"/>
      <c r="D1299" s="19"/>
      <c r="E1299" s="19"/>
      <c r="F1299" s="19"/>
      <c r="G1299" s="19"/>
      <c r="H1299" s="19"/>
      <c r="I1299" s="19"/>
      <c r="J1299" s="19"/>
      <c r="K1299" s="19"/>
      <c r="L1299" s="19"/>
      <c r="M1299" s="19"/>
      <c r="N1299" s="19"/>
      <c r="O1299" s="19"/>
      <c r="P1299" s="19"/>
      <c r="Q1299" s="19"/>
      <c r="R1299" s="20"/>
    </row>
    <row r="1300" spans="1:19" x14ac:dyDescent="0.35">
      <c r="A1300" s="82"/>
      <c r="B1300" s="19"/>
      <c r="C1300" s="19"/>
      <c r="D1300" s="19"/>
      <c r="E1300" s="19"/>
      <c r="F1300" s="19"/>
      <c r="G1300" s="19"/>
      <c r="H1300" s="19"/>
      <c r="I1300" s="19"/>
      <c r="J1300" s="19"/>
      <c r="K1300" s="19"/>
      <c r="L1300" s="19"/>
      <c r="M1300" s="19"/>
      <c r="N1300" s="19"/>
      <c r="O1300" s="19"/>
      <c r="P1300" s="19"/>
      <c r="Q1300" s="19"/>
      <c r="R1300" s="20"/>
    </row>
    <row r="1301" spans="1:19" x14ac:dyDescent="0.35">
      <c r="A1301" s="82"/>
      <c r="B1301" s="19"/>
      <c r="C1301" s="19"/>
      <c r="D1301" s="19"/>
      <c r="E1301" s="19"/>
      <c r="F1301" s="19"/>
      <c r="G1301" s="19"/>
      <c r="H1301" s="19"/>
      <c r="I1301" s="19"/>
      <c r="J1301" s="19"/>
      <c r="K1301" s="19"/>
      <c r="L1301" s="19"/>
      <c r="M1301" s="19"/>
      <c r="N1301" s="19"/>
      <c r="O1301" s="19"/>
      <c r="P1301" s="19"/>
      <c r="Q1301" s="19"/>
      <c r="R1301" s="20"/>
    </row>
    <row r="1302" spans="1:19" x14ac:dyDescent="0.35">
      <c r="A1302" s="81"/>
      <c r="B1302" s="17"/>
      <c r="C1302" s="17"/>
      <c r="D1302" s="17"/>
      <c r="E1302" s="17"/>
      <c r="F1302" s="17"/>
      <c r="G1302" s="17"/>
      <c r="H1302" s="17"/>
      <c r="I1302" s="17"/>
      <c r="J1302" s="17"/>
      <c r="K1302" s="17"/>
      <c r="L1302" s="17"/>
      <c r="M1302" s="17"/>
      <c r="N1302" s="17"/>
      <c r="O1302" s="17"/>
      <c r="P1302" s="17"/>
      <c r="Q1302" s="17"/>
      <c r="R1302" s="18"/>
      <c r="S1302" s="30"/>
    </row>
    <row r="1303" spans="1:19" x14ac:dyDescent="0.35">
      <c r="A1303" s="81"/>
      <c r="B1303" s="17"/>
      <c r="C1303" s="17"/>
      <c r="D1303" s="17"/>
      <c r="E1303" s="17"/>
      <c r="F1303" s="17"/>
      <c r="G1303" s="17"/>
      <c r="H1303" s="17"/>
      <c r="I1303" s="17"/>
      <c r="J1303" s="17"/>
      <c r="K1303" s="17"/>
      <c r="L1303" s="17"/>
      <c r="M1303" s="17"/>
      <c r="N1303" s="17"/>
      <c r="O1303" s="17"/>
      <c r="P1303" s="17"/>
      <c r="Q1303" s="17"/>
      <c r="R1303" s="18"/>
    </row>
    <row r="1304" spans="1:19" x14ac:dyDescent="0.35">
      <c r="A1304" s="81"/>
      <c r="B1304" s="17"/>
      <c r="C1304" s="17"/>
      <c r="D1304" s="17"/>
      <c r="E1304" s="17"/>
      <c r="F1304" s="17"/>
      <c r="G1304" s="17"/>
      <c r="H1304" s="17"/>
      <c r="I1304" s="17"/>
      <c r="J1304" s="17"/>
      <c r="K1304" s="17"/>
      <c r="L1304" s="19"/>
      <c r="M1304" s="19"/>
      <c r="N1304" s="19"/>
      <c r="O1304" s="17"/>
      <c r="P1304" s="17"/>
      <c r="Q1304" s="17"/>
      <c r="R1304" s="18"/>
    </row>
    <row r="1305" spans="1:19" x14ac:dyDescent="0.35">
      <c r="A1305" s="81"/>
      <c r="B1305" s="17"/>
      <c r="C1305" s="17"/>
      <c r="D1305" s="17"/>
      <c r="E1305" s="17"/>
      <c r="F1305" s="17"/>
      <c r="G1305" s="17"/>
      <c r="H1305" s="17"/>
      <c r="I1305" s="17"/>
      <c r="J1305" s="17"/>
      <c r="K1305" s="17"/>
      <c r="L1305" s="17"/>
      <c r="M1305" s="17"/>
      <c r="N1305" s="17"/>
      <c r="O1305" s="17"/>
      <c r="P1305" s="17"/>
      <c r="Q1305" s="17"/>
      <c r="R1305" s="18"/>
    </row>
    <row r="1306" spans="1:19" x14ac:dyDescent="0.35">
      <c r="A1306" s="82"/>
      <c r="B1306" s="19"/>
      <c r="C1306" s="19"/>
      <c r="D1306" s="19"/>
      <c r="E1306" s="19"/>
      <c r="F1306" s="19"/>
      <c r="G1306" s="19"/>
      <c r="H1306" s="19"/>
      <c r="I1306" s="19"/>
      <c r="J1306" s="19"/>
      <c r="K1306" s="19"/>
      <c r="L1306" s="19"/>
      <c r="M1306" s="19"/>
      <c r="N1306" s="19"/>
      <c r="O1306" s="19"/>
      <c r="P1306" s="19"/>
      <c r="Q1306" s="19"/>
      <c r="R1306" s="20"/>
    </row>
    <row r="1307" spans="1:19" x14ac:dyDescent="0.35">
      <c r="A1307" s="81"/>
      <c r="B1307" s="17"/>
      <c r="C1307" s="17"/>
      <c r="D1307" s="17"/>
      <c r="E1307" s="17"/>
      <c r="F1307" s="17"/>
      <c r="G1307" s="17"/>
      <c r="H1307" s="17"/>
      <c r="I1307" s="17"/>
      <c r="J1307" s="17"/>
      <c r="K1307" s="17"/>
      <c r="L1307" s="17"/>
      <c r="M1307" s="17"/>
      <c r="N1307" s="17"/>
      <c r="O1307" s="17"/>
      <c r="P1307" s="17"/>
      <c r="Q1307" s="17"/>
      <c r="R1307" s="18"/>
    </row>
    <row r="1308" spans="1:19" x14ac:dyDescent="0.35">
      <c r="A1308" s="82"/>
      <c r="B1308" s="19"/>
      <c r="C1308" s="19"/>
      <c r="D1308" s="19"/>
      <c r="E1308" s="19"/>
      <c r="F1308" s="19"/>
      <c r="G1308" s="19"/>
      <c r="H1308" s="19"/>
      <c r="I1308" s="19"/>
      <c r="J1308" s="19"/>
      <c r="K1308" s="19"/>
      <c r="L1308" s="19"/>
      <c r="M1308" s="19"/>
      <c r="N1308" s="19"/>
      <c r="P1308" s="19"/>
      <c r="Q1308" s="19"/>
      <c r="R1308" s="20"/>
    </row>
    <row r="1309" spans="1:19" x14ac:dyDescent="0.35">
      <c r="A1309" s="82"/>
      <c r="B1309" s="19"/>
      <c r="C1309" s="19"/>
      <c r="D1309" s="19"/>
      <c r="E1309" s="19"/>
      <c r="F1309" s="19"/>
      <c r="G1309" s="19"/>
      <c r="H1309" s="19"/>
      <c r="I1309" s="19"/>
      <c r="J1309" s="19"/>
      <c r="K1309" s="19"/>
      <c r="L1309" s="19"/>
      <c r="M1309" s="19"/>
      <c r="N1309" s="19"/>
      <c r="P1309" s="19"/>
      <c r="Q1309" s="19"/>
      <c r="R1309" s="20"/>
    </row>
    <row r="1310" spans="1:19" x14ac:dyDescent="0.35">
      <c r="A1310" s="82"/>
      <c r="B1310" s="19"/>
      <c r="C1310" s="19"/>
      <c r="D1310" s="19"/>
      <c r="E1310" s="19"/>
      <c r="F1310" s="19"/>
      <c r="G1310" s="19"/>
      <c r="H1310" s="19"/>
      <c r="I1310" s="19"/>
      <c r="J1310" s="19"/>
      <c r="K1310" s="19"/>
      <c r="L1310" s="19"/>
      <c r="M1310" s="19"/>
      <c r="N1310" s="19"/>
      <c r="P1310" s="19"/>
      <c r="Q1310" s="19"/>
      <c r="R1310" s="20"/>
    </row>
    <row r="1311" spans="1:19" x14ac:dyDescent="0.35">
      <c r="A1311" s="82"/>
      <c r="B1311" s="19"/>
      <c r="C1311" s="19"/>
      <c r="D1311" s="19"/>
      <c r="E1311" s="19"/>
      <c r="F1311" s="19"/>
      <c r="G1311" s="19"/>
      <c r="H1311" s="19"/>
      <c r="I1311" s="19"/>
      <c r="J1311" s="19"/>
      <c r="K1311" s="19"/>
      <c r="L1311" s="19"/>
      <c r="M1311" s="19"/>
      <c r="N1311" s="19"/>
      <c r="P1311" s="19"/>
      <c r="Q1311" s="19"/>
      <c r="R1311" s="20"/>
      <c r="S1311" s="30"/>
    </row>
    <row r="1312" spans="1:19" x14ac:dyDescent="0.35">
      <c r="A1312" s="82"/>
      <c r="B1312" s="19"/>
      <c r="C1312" s="19"/>
      <c r="D1312" s="19"/>
      <c r="E1312" s="19"/>
      <c r="F1312" s="19"/>
      <c r="G1312" s="19"/>
      <c r="H1312" s="19"/>
      <c r="I1312" s="19"/>
      <c r="J1312" s="19"/>
      <c r="K1312" s="19"/>
      <c r="L1312" s="19"/>
      <c r="M1312" s="19"/>
      <c r="N1312" s="19"/>
      <c r="P1312" s="19"/>
      <c r="Q1312" s="19"/>
      <c r="R1312" s="20"/>
    </row>
    <row r="1313" spans="1:19" x14ac:dyDescent="0.35">
      <c r="A1313" s="82"/>
      <c r="B1313" s="19"/>
      <c r="C1313" s="19"/>
      <c r="D1313" s="19"/>
      <c r="E1313" s="19"/>
      <c r="F1313" s="19"/>
      <c r="G1313" s="19"/>
      <c r="H1313" s="19"/>
      <c r="I1313" s="19"/>
      <c r="J1313" s="19"/>
      <c r="K1313" s="19"/>
      <c r="L1313" s="19"/>
      <c r="M1313" s="19"/>
      <c r="N1313" s="19"/>
      <c r="P1313" s="19"/>
      <c r="Q1313" s="19"/>
      <c r="R1313" s="20"/>
    </row>
    <row r="1314" spans="1:19" x14ac:dyDescent="0.35">
      <c r="A1314" s="82"/>
      <c r="B1314" s="19"/>
      <c r="C1314" s="19"/>
      <c r="D1314" s="19"/>
      <c r="E1314" s="19"/>
      <c r="F1314" s="19"/>
      <c r="G1314" s="19"/>
      <c r="H1314" s="19"/>
      <c r="I1314" s="19"/>
      <c r="J1314" s="19"/>
      <c r="K1314" s="19"/>
      <c r="L1314" s="19"/>
      <c r="M1314" s="19"/>
      <c r="N1314" s="19"/>
      <c r="P1314" s="19"/>
      <c r="Q1314" s="19"/>
      <c r="R1314" s="20"/>
    </row>
    <row r="1315" spans="1:19" x14ac:dyDescent="0.35">
      <c r="A1315" s="82"/>
      <c r="B1315" s="19"/>
      <c r="C1315" s="19"/>
      <c r="D1315" s="19"/>
      <c r="E1315" s="19"/>
      <c r="F1315" s="19"/>
      <c r="G1315" s="19"/>
      <c r="H1315" s="19"/>
      <c r="I1315" s="19"/>
      <c r="J1315" s="19"/>
      <c r="K1315" s="19"/>
      <c r="L1315" s="19"/>
      <c r="M1315" s="19"/>
      <c r="N1315" s="19"/>
      <c r="P1315" s="19"/>
      <c r="Q1315" s="19"/>
      <c r="R1315" s="20"/>
    </row>
    <row r="1316" spans="1:19" x14ac:dyDescent="0.35">
      <c r="A1316" s="81"/>
      <c r="B1316" s="17"/>
      <c r="C1316" s="17"/>
      <c r="D1316" s="17"/>
      <c r="E1316" s="17"/>
      <c r="F1316" s="17"/>
      <c r="G1316" s="17"/>
      <c r="H1316" s="17"/>
      <c r="I1316" s="17"/>
      <c r="J1316" s="17"/>
      <c r="K1316" s="17"/>
      <c r="L1316" s="17"/>
      <c r="M1316" s="17"/>
      <c r="N1316" s="17"/>
      <c r="O1316" s="30"/>
      <c r="P1316" s="17"/>
      <c r="Q1316" s="17"/>
      <c r="R1316" s="18"/>
      <c r="S1316" s="30"/>
    </row>
    <row r="1317" spans="1:19" x14ac:dyDescent="0.35">
      <c r="A1317" s="82"/>
      <c r="B1317" s="19"/>
      <c r="C1317" s="19"/>
      <c r="D1317" s="19"/>
      <c r="E1317" s="19"/>
      <c r="F1317" s="19"/>
      <c r="G1317" s="19"/>
      <c r="H1317" s="19"/>
      <c r="I1317" s="19"/>
      <c r="J1317" s="19"/>
      <c r="K1317" s="19"/>
      <c r="L1317" s="19"/>
      <c r="M1317" s="19"/>
      <c r="N1317" s="19"/>
      <c r="P1317" s="19"/>
      <c r="Q1317" s="19"/>
      <c r="R1317" s="20"/>
    </row>
    <row r="1318" spans="1:19" x14ac:dyDescent="0.35">
      <c r="A1318" s="82"/>
      <c r="B1318" s="19"/>
      <c r="C1318" s="19"/>
      <c r="D1318" s="19"/>
      <c r="E1318" s="19"/>
      <c r="F1318" s="19"/>
      <c r="G1318" s="19"/>
      <c r="H1318" s="19"/>
      <c r="I1318" s="19"/>
      <c r="J1318" s="19"/>
      <c r="K1318" s="19"/>
      <c r="L1318" s="19"/>
      <c r="M1318" s="19"/>
      <c r="N1318" s="19"/>
      <c r="P1318" s="19"/>
      <c r="Q1318" s="19"/>
      <c r="R1318" s="20"/>
    </row>
    <row r="1319" spans="1:19" x14ac:dyDescent="0.35">
      <c r="A1319" s="82"/>
      <c r="B1319" s="19"/>
      <c r="C1319" s="19"/>
      <c r="D1319" s="19"/>
      <c r="E1319" s="19"/>
      <c r="F1319" s="19"/>
      <c r="G1319" s="19"/>
      <c r="H1319" s="19"/>
      <c r="I1319" s="19"/>
      <c r="J1319" s="19"/>
      <c r="K1319" s="19"/>
      <c r="L1319" s="19"/>
      <c r="M1319" s="19"/>
      <c r="N1319" s="19"/>
      <c r="P1319" s="19"/>
      <c r="Q1319" s="19"/>
      <c r="R1319" s="20"/>
    </row>
    <row r="1320" spans="1:19" x14ac:dyDescent="0.35">
      <c r="A1320" s="82"/>
      <c r="B1320" s="19"/>
      <c r="C1320" s="19"/>
      <c r="D1320" s="19"/>
      <c r="E1320" s="19"/>
      <c r="F1320" s="19"/>
      <c r="G1320" s="19"/>
      <c r="H1320" s="19"/>
      <c r="I1320" s="19"/>
      <c r="J1320" s="19"/>
      <c r="K1320" s="19"/>
      <c r="L1320" s="19"/>
      <c r="M1320" s="19"/>
      <c r="N1320" s="19"/>
      <c r="P1320" s="19"/>
      <c r="Q1320" s="19"/>
      <c r="R1320" s="20"/>
    </row>
    <row r="1321" spans="1:19" x14ac:dyDescent="0.35">
      <c r="A1321" s="82"/>
      <c r="B1321" s="19"/>
      <c r="C1321" s="19"/>
      <c r="D1321" s="19"/>
      <c r="E1321" s="19"/>
      <c r="F1321" s="19"/>
      <c r="G1321" s="19"/>
      <c r="H1321" s="19"/>
      <c r="I1321" s="19"/>
      <c r="J1321" s="19"/>
      <c r="K1321" s="19"/>
      <c r="L1321" s="19"/>
      <c r="M1321" s="19"/>
      <c r="N1321" s="19"/>
      <c r="P1321" s="19"/>
      <c r="Q1321" s="19"/>
      <c r="R1321" s="20"/>
    </row>
    <row r="1322" spans="1:19" x14ac:dyDescent="0.35">
      <c r="A1322" s="81"/>
      <c r="B1322" s="17"/>
      <c r="C1322" s="17"/>
      <c r="D1322" s="17"/>
      <c r="E1322" s="17"/>
      <c r="F1322" s="17"/>
      <c r="G1322" s="17"/>
      <c r="H1322" s="17"/>
      <c r="I1322" s="17"/>
      <c r="J1322" s="17"/>
      <c r="K1322" s="17"/>
      <c r="L1322" s="17"/>
      <c r="M1322" s="17"/>
      <c r="N1322" s="17"/>
      <c r="O1322" s="30"/>
      <c r="P1322" s="17"/>
      <c r="Q1322" s="17"/>
      <c r="R1322" s="18"/>
    </row>
    <row r="1323" spans="1:19" x14ac:dyDescent="0.35">
      <c r="A1323" s="81"/>
      <c r="B1323" s="17"/>
      <c r="C1323" s="17"/>
      <c r="D1323" s="17"/>
      <c r="E1323" s="17"/>
      <c r="F1323" s="17"/>
      <c r="G1323" s="17"/>
      <c r="H1323" s="17"/>
      <c r="I1323" s="17"/>
      <c r="J1323" s="17"/>
      <c r="K1323" s="17"/>
      <c r="L1323" s="17"/>
      <c r="M1323" s="17"/>
      <c r="N1323" s="17"/>
      <c r="O1323" s="30"/>
      <c r="P1323" s="17"/>
      <c r="Q1323" s="17"/>
      <c r="R1323" s="18"/>
    </row>
    <row r="1324" spans="1:19" x14ac:dyDescent="0.35">
      <c r="A1324" s="81"/>
      <c r="B1324" s="17"/>
      <c r="C1324" s="17"/>
      <c r="D1324" s="17"/>
      <c r="E1324" s="17"/>
      <c r="F1324" s="17"/>
      <c r="G1324" s="17"/>
      <c r="H1324" s="17"/>
      <c r="I1324" s="17"/>
      <c r="J1324" s="17"/>
      <c r="K1324" s="17"/>
      <c r="L1324" s="19"/>
      <c r="M1324" s="19"/>
      <c r="N1324" s="19"/>
      <c r="O1324" s="30"/>
      <c r="P1324" s="17"/>
      <c r="Q1324" s="17"/>
      <c r="R1324" s="18"/>
      <c r="S1324" s="30"/>
    </row>
    <row r="1325" spans="1:19" x14ac:dyDescent="0.35">
      <c r="A1325" s="82"/>
      <c r="B1325" s="19"/>
      <c r="C1325" s="19"/>
      <c r="D1325" s="19"/>
      <c r="E1325" s="19"/>
      <c r="F1325" s="19"/>
      <c r="G1325" s="19"/>
      <c r="H1325" s="19"/>
      <c r="I1325" s="19"/>
      <c r="J1325" s="19"/>
      <c r="K1325" s="19"/>
      <c r="L1325" s="19"/>
      <c r="M1325" s="19"/>
      <c r="N1325" s="19"/>
      <c r="P1325" s="19"/>
      <c r="Q1325" s="19"/>
      <c r="R1325" s="20"/>
    </row>
    <row r="1326" spans="1:19" x14ac:dyDescent="0.35">
      <c r="A1326" s="82"/>
      <c r="B1326" s="19"/>
      <c r="C1326" s="19"/>
      <c r="D1326" s="19"/>
      <c r="E1326" s="19"/>
      <c r="F1326" s="19"/>
      <c r="G1326" s="19"/>
      <c r="H1326" s="19"/>
      <c r="I1326" s="19"/>
      <c r="J1326" s="19"/>
      <c r="K1326" s="19"/>
      <c r="L1326" s="19"/>
      <c r="M1326" s="19"/>
      <c r="N1326" s="19"/>
      <c r="P1326" s="19"/>
      <c r="Q1326" s="19"/>
      <c r="R1326" s="20"/>
    </row>
    <row r="1327" spans="1:19" x14ac:dyDescent="0.35">
      <c r="A1327" s="82"/>
      <c r="B1327" s="19"/>
      <c r="C1327" s="19"/>
      <c r="D1327" s="19"/>
      <c r="E1327" s="19"/>
      <c r="F1327" s="19"/>
      <c r="G1327" s="19"/>
      <c r="H1327" s="19"/>
      <c r="I1327" s="19"/>
      <c r="J1327" s="19"/>
      <c r="K1327" s="19"/>
      <c r="L1327" s="19"/>
      <c r="M1327" s="19"/>
      <c r="N1327" s="19"/>
      <c r="P1327" s="19"/>
      <c r="Q1327" s="19"/>
      <c r="R1327" s="20"/>
    </row>
    <row r="1328" spans="1:19" x14ac:dyDescent="0.35">
      <c r="A1328" s="82"/>
      <c r="B1328" s="19"/>
      <c r="C1328" s="19"/>
      <c r="D1328" s="19"/>
      <c r="E1328" s="19"/>
      <c r="F1328" s="19"/>
      <c r="G1328" s="19"/>
      <c r="H1328" s="19"/>
      <c r="I1328" s="19"/>
      <c r="J1328" s="19"/>
      <c r="K1328" s="19"/>
      <c r="L1328" s="19"/>
      <c r="M1328" s="19"/>
      <c r="N1328" s="19"/>
      <c r="P1328" s="19"/>
      <c r="Q1328" s="19"/>
      <c r="R1328" s="20"/>
    </row>
    <row r="1329" spans="1:19" x14ac:dyDescent="0.35">
      <c r="A1329" s="82"/>
      <c r="B1329" s="19"/>
      <c r="C1329" s="19"/>
      <c r="D1329" s="19"/>
      <c r="E1329" s="19"/>
      <c r="F1329" s="19"/>
      <c r="G1329" s="19"/>
      <c r="H1329" s="19"/>
      <c r="I1329" s="19"/>
      <c r="J1329" s="19"/>
      <c r="K1329" s="19"/>
      <c r="L1329" s="19"/>
      <c r="M1329" s="19"/>
      <c r="N1329" s="19"/>
      <c r="P1329" s="19"/>
      <c r="Q1329" s="19"/>
      <c r="R1329" s="20"/>
    </row>
    <row r="1330" spans="1:19" x14ac:dyDescent="0.35">
      <c r="A1330" s="82"/>
      <c r="B1330" s="19"/>
      <c r="C1330" s="19"/>
      <c r="D1330" s="19"/>
      <c r="E1330" s="19"/>
      <c r="F1330" s="19"/>
      <c r="G1330" s="19"/>
      <c r="H1330" s="19"/>
      <c r="I1330" s="19"/>
      <c r="J1330" s="19"/>
      <c r="K1330" s="19"/>
      <c r="L1330" s="19"/>
      <c r="M1330" s="19"/>
      <c r="N1330" s="19"/>
      <c r="P1330" s="19"/>
      <c r="Q1330" s="19"/>
      <c r="R1330" s="20"/>
    </row>
    <row r="1331" spans="1:19" x14ac:dyDescent="0.35">
      <c r="A1331" s="82"/>
      <c r="B1331" s="19"/>
      <c r="C1331" s="19"/>
      <c r="D1331" s="19"/>
      <c r="E1331" s="19"/>
      <c r="F1331" s="19"/>
      <c r="G1331" s="19"/>
      <c r="H1331" s="19"/>
      <c r="I1331" s="19"/>
      <c r="J1331" s="19"/>
      <c r="K1331" s="19"/>
      <c r="L1331" s="19"/>
      <c r="M1331" s="19"/>
      <c r="N1331" s="19"/>
      <c r="P1331" s="19"/>
      <c r="Q1331" s="19"/>
      <c r="R1331" s="20"/>
    </row>
    <row r="1332" spans="1:19" x14ac:dyDescent="0.35">
      <c r="A1332" s="82"/>
      <c r="B1332" s="19"/>
      <c r="C1332" s="19"/>
      <c r="D1332" s="19"/>
      <c r="E1332" s="19"/>
      <c r="F1332" s="19"/>
      <c r="G1332" s="19"/>
      <c r="H1332" s="19"/>
      <c r="I1332" s="19"/>
      <c r="J1332" s="19"/>
      <c r="K1332" s="19"/>
      <c r="L1332" s="19"/>
      <c r="M1332" s="19"/>
      <c r="N1332" s="19"/>
      <c r="O1332" s="19"/>
      <c r="P1332" s="19"/>
      <c r="Q1332" s="19"/>
      <c r="R1332" s="20"/>
    </row>
    <row r="1333" spans="1:19" x14ac:dyDescent="0.35">
      <c r="A1333" s="82"/>
      <c r="B1333" s="19"/>
      <c r="C1333" s="19"/>
      <c r="D1333" s="19"/>
      <c r="E1333" s="19"/>
      <c r="F1333" s="19"/>
      <c r="G1333" s="19"/>
      <c r="H1333" s="19"/>
      <c r="I1333" s="19"/>
      <c r="J1333" s="19"/>
      <c r="K1333" s="19"/>
      <c r="L1333" s="19"/>
      <c r="M1333" s="19"/>
      <c r="N1333" s="19"/>
      <c r="O1333" s="19"/>
      <c r="P1333" s="19"/>
      <c r="Q1333" s="19"/>
      <c r="R1333" s="20"/>
    </row>
    <row r="1334" spans="1:19" x14ac:dyDescent="0.35">
      <c r="A1334" s="82"/>
      <c r="B1334" s="19"/>
      <c r="C1334" s="19"/>
      <c r="D1334" s="19"/>
      <c r="E1334" s="19"/>
      <c r="F1334" s="19"/>
      <c r="G1334" s="19"/>
      <c r="H1334" s="19"/>
      <c r="I1334" s="19"/>
      <c r="J1334" s="19"/>
      <c r="K1334" s="19"/>
      <c r="L1334" s="19"/>
      <c r="M1334" s="19"/>
      <c r="N1334" s="19"/>
      <c r="O1334" s="19"/>
      <c r="P1334" s="19"/>
      <c r="Q1334" s="19"/>
      <c r="R1334" s="20"/>
    </row>
    <row r="1335" spans="1:19" x14ac:dyDescent="0.35">
      <c r="A1335" s="82"/>
      <c r="B1335" s="19"/>
      <c r="C1335" s="19"/>
      <c r="D1335" s="19"/>
      <c r="E1335" s="19"/>
      <c r="F1335" s="19"/>
      <c r="G1335" s="19"/>
      <c r="H1335" s="19"/>
      <c r="I1335" s="19"/>
      <c r="J1335" s="19"/>
      <c r="K1335" s="19"/>
      <c r="L1335" s="19"/>
      <c r="M1335" s="19"/>
      <c r="N1335" s="19"/>
      <c r="O1335" s="19"/>
      <c r="P1335" s="19"/>
      <c r="Q1335" s="19"/>
      <c r="R1335" s="20"/>
    </row>
    <row r="1336" spans="1:19" x14ac:dyDescent="0.35">
      <c r="A1336" s="82"/>
      <c r="B1336" s="19"/>
      <c r="C1336" s="19"/>
      <c r="D1336" s="19"/>
      <c r="E1336" s="19"/>
      <c r="F1336" s="19"/>
      <c r="G1336" s="19"/>
      <c r="H1336" s="19"/>
      <c r="I1336" s="19"/>
      <c r="J1336" s="19"/>
      <c r="K1336" s="19"/>
      <c r="L1336" s="19"/>
      <c r="M1336" s="19"/>
      <c r="N1336" s="19"/>
      <c r="O1336" s="19"/>
      <c r="P1336" s="19"/>
      <c r="Q1336" s="19"/>
      <c r="R1336" s="20"/>
    </row>
    <row r="1337" spans="1:19" x14ac:dyDescent="0.35">
      <c r="A1337" s="82"/>
      <c r="B1337" s="19"/>
      <c r="C1337" s="19"/>
      <c r="D1337" s="19"/>
      <c r="E1337" s="19"/>
      <c r="F1337" s="19"/>
      <c r="G1337" s="19"/>
      <c r="H1337" s="19"/>
      <c r="I1337" s="19"/>
      <c r="J1337" s="19"/>
      <c r="K1337" s="19"/>
      <c r="L1337" s="19"/>
      <c r="M1337" s="19"/>
      <c r="N1337" s="19"/>
      <c r="O1337" s="19"/>
      <c r="P1337" s="19"/>
      <c r="Q1337" s="19"/>
      <c r="R1337" s="20"/>
    </row>
    <row r="1338" spans="1:19" x14ac:dyDescent="0.35">
      <c r="A1338" s="82"/>
      <c r="B1338" s="19"/>
      <c r="C1338" s="19"/>
      <c r="D1338" s="19"/>
      <c r="E1338" s="19"/>
      <c r="F1338" s="19"/>
      <c r="G1338" s="19"/>
      <c r="H1338" s="19"/>
      <c r="I1338" s="19"/>
      <c r="J1338" s="19"/>
      <c r="K1338" s="19"/>
      <c r="L1338" s="19"/>
      <c r="M1338" s="19"/>
      <c r="N1338" s="19"/>
      <c r="O1338" s="19"/>
      <c r="P1338" s="19"/>
      <c r="Q1338" s="19"/>
      <c r="R1338" s="20"/>
    </row>
    <row r="1339" spans="1:19" x14ac:dyDescent="0.35">
      <c r="A1339" s="82"/>
      <c r="B1339" s="19"/>
      <c r="C1339" s="19"/>
      <c r="D1339" s="19"/>
      <c r="E1339" s="19"/>
      <c r="F1339" s="19"/>
      <c r="G1339" s="19"/>
      <c r="H1339" s="19"/>
      <c r="I1339" s="19"/>
      <c r="J1339" s="19"/>
      <c r="K1339" s="19"/>
      <c r="L1339" s="19"/>
      <c r="M1339" s="19"/>
      <c r="N1339" s="19"/>
      <c r="O1339" s="19"/>
      <c r="P1339" s="19"/>
      <c r="Q1339" s="19"/>
      <c r="R1339" s="20"/>
    </row>
    <row r="1340" spans="1:19" x14ac:dyDescent="0.35">
      <c r="A1340" s="81"/>
      <c r="B1340" s="17"/>
      <c r="C1340" s="17"/>
      <c r="D1340" s="17"/>
      <c r="E1340" s="17"/>
      <c r="F1340" s="17"/>
      <c r="G1340" s="17"/>
      <c r="H1340" s="17"/>
      <c r="I1340" s="17"/>
      <c r="J1340" s="17"/>
      <c r="K1340" s="17"/>
      <c r="L1340" s="17"/>
      <c r="M1340" s="17"/>
      <c r="N1340" s="17"/>
      <c r="O1340" s="17"/>
      <c r="P1340" s="17"/>
      <c r="Q1340" s="17"/>
      <c r="R1340" s="17"/>
      <c r="S1340" s="20"/>
    </row>
    <row r="1341" spans="1:19" x14ac:dyDescent="0.35">
      <c r="A1341" s="82"/>
      <c r="B1341" s="19"/>
      <c r="C1341" s="19"/>
      <c r="D1341" s="19"/>
      <c r="E1341" s="19"/>
      <c r="F1341" s="19"/>
      <c r="G1341" s="19"/>
      <c r="H1341" s="19"/>
      <c r="I1341" s="19"/>
      <c r="J1341" s="19"/>
      <c r="K1341" s="19"/>
      <c r="L1341" s="19"/>
      <c r="M1341" s="19"/>
      <c r="N1341" s="19"/>
      <c r="O1341" s="19"/>
      <c r="P1341" s="19"/>
      <c r="Q1341" s="19"/>
      <c r="R1341" s="19"/>
      <c r="S1341" s="20"/>
    </row>
    <row r="1342" spans="1:19" x14ac:dyDescent="0.35">
      <c r="A1342" s="81"/>
      <c r="B1342" s="17"/>
      <c r="C1342" s="17"/>
      <c r="D1342" s="17"/>
      <c r="E1342" s="17"/>
      <c r="F1342" s="17"/>
      <c r="G1342" s="17"/>
      <c r="H1342" s="17"/>
      <c r="I1342" s="17"/>
      <c r="J1342" s="17"/>
      <c r="K1342" s="17"/>
      <c r="L1342" s="17"/>
      <c r="M1342" s="17"/>
      <c r="N1342" s="17"/>
      <c r="O1342" s="17"/>
      <c r="P1342" s="17"/>
      <c r="Q1342" s="17"/>
      <c r="R1342" s="17"/>
      <c r="S1342" s="18"/>
    </row>
    <row r="1343" spans="1:19" x14ac:dyDescent="0.35">
      <c r="A1343" s="81"/>
      <c r="B1343" s="17"/>
      <c r="C1343" s="17"/>
      <c r="D1343" s="17"/>
      <c r="E1343" s="17"/>
      <c r="F1343" s="17"/>
      <c r="G1343" s="17"/>
      <c r="H1343" s="17"/>
      <c r="I1343" s="17"/>
      <c r="J1343" s="17"/>
      <c r="K1343" s="17"/>
      <c r="L1343" s="17"/>
      <c r="M1343" s="17"/>
      <c r="N1343" s="17"/>
      <c r="O1343" s="17"/>
      <c r="P1343" s="17"/>
      <c r="Q1343" s="17"/>
      <c r="R1343" s="17"/>
      <c r="S1343" s="18"/>
    </row>
    <row r="1344" spans="1:19" x14ac:dyDescent="0.35">
      <c r="A1344" s="82"/>
      <c r="B1344" s="19"/>
      <c r="C1344" s="19"/>
      <c r="D1344" s="19"/>
      <c r="E1344" s="19"/>
      <c r="F1344" s="19"/>
      <c r="G1344" s="19"/>
      <c r="H1344" s="19"/>
      <c r="I1344" s="19"/>
      <c r="J1344" s="19"/>
      <c r="K1344" s="19"/>
      <c r="L1344" s="19"/>
      <c r="M1344" s="19"/>
      <c r="N1344" s="19"/>
      <c r="O1344" s="19"/>
      <c r="P1344" s="19"/>
      <c r="Q1344" s="19"/>
      <c r="R1344" s="19"/>
      <c r="S1344" s="20"/>
    </row>
    <row r="1345" spans="1:19" x14ac:dyDescent="0.35">
      <c r="A1345" s="82"/>
      <c r="B1345" s="19"/>
      <c r="C1345" s="19"/>
      <c r="D1345" s="19"/>
      <c r="E1345" s="19"/>
      <c r="F1345" s="19"/>
      <c r="G1345" s="19"/>
      <c r="H1345" s="19"/>
      <c r="I1345" s="19"/>
      <c r="J1345" s="19"/>
      <c r="K1345" s="19"/>
      <c r="L1345" s="19"/>
      <c r="M1345" s="19"/>
      <c r="N1345" s="19"/>
      <c r="O1345" s="19"/>
      <c r="P1345" s="19"/>
      <c r="Q1345" s="19"/>
      <c r="R1345" s="19"/>
      <c r="S1345" s="20"/>
    </row>
    <row r="1346" spans="1:19" x14ac:dyDescent="0.35">
      <c r="A1346" s="82"/>
      <c r="B1346" s="19"/>
      <c r="C1346" s="19"/>
      <c r="D1346" s="19"/>
      <c r="E1346" s="19"/>
      <c r="F1346" s="19"/>
      <c r="G1346" s="19"/>
      <c r="H1346" s="19"/>
      <c r="I1346" s="19"/>
      <c r="J1346" s="19"/>
      <c r="K1346" s="19"/>
      <c r="L1346" s="19"/>
      <c r="M1346" s="19"/>
      <c r="N1346" s="19"/>
      <c r="O1346" s="19"/>
      <c r="P1346" s="19"/>
      <c r="Q1346" s="19"/>
      <c r="R1346" s="19"/>
      <c r="S1346" s="20"/>
    </row>
    <row r="1347" spans="1:19" x14ac:dyDescent="0.35">
      <c r="A1347" s="82"/>
      <c r="B1347" s="19"/>
      <c r="C1347" s="19"/>
      <c r="D1347" s="19"/>
      <c r="E1347" s="19"/>
      <c r="F1347" s="19"/>
      <c r="G1347" s="19"/>
      <c r="H1347" s="19"/>
      <c r="I1347" s="19"/>
      <c r="J1347" s="19"/>
      <c r="K1347" s="19"/>
      <c r="L1347" s="19"/>
      <c r="M1347" s="19"/>
      <c r="N1347" s="19"/>
      <c r="O1347" s="19"/>
      <c r="P1347" s="19"/>
      <c r="Q1347" s="19"/>
      <c r="R1347" s="19"/>
      <c r="S1347" s="20"/>
    </row>
    <row r="1348" spans="1:19" x14ac:dyDescent="0.35">
      <c r="A1348" s="82"/>
      <c r="B1348" s="19"/>
      <c r="C1348" s="19"/>
      <c r="D1348" s="19"/>
      <c r="E1348" s="19"/>
      <c r="F1348" s="19"/>
      <c r="G1348" s="19"/>
      <c r="H1348" s="19"/>
      <c r="I1348" s="19"/>
      <c r="J1348" s="19"/>
      <c r="K1348" s="19"/>
      <c r="L1348" s="19"/>
      <c r="M1348" s="19"/>
      <c r="N1348" s="19"/>
      <c r="O1348" s="19"/>
      <c r="P1348" s="19"/>
      <c r="Q1348" s="19"/>
      <c r="R1348" s="19"/>
      <c r="S1348" s="20"/>
    </row>
    <row r="1349" spans="1:19" x14ac:dyDescent="0.35">
      <c r="A1349" s="82"/>
      <c r="B1349" s="19"/>
      <c r="C1349" s="19"/>
      <c r="D1349" s="19"/>
      <c r="E1349" s="19"/>
      <c r="F1349" s="19"/>
      <c r="G1349" s="19"/>
      <c r="H1349" s="19"/>
      <c r="I1349" s="19"/>
      <c r="J1349" s="19"/>
      <c r="K1349" s="19"/>
      <c r="L1349" s="19"/>
      <c r="M1349" s="19"/>
      <c r="N1349" s="19"/>
      <c r="O1349" s="19"/>
      <c r="P1349" s="19"/>
      <c r="Q1349" s="19"/>
      <c r="R1349" s="19"/>
      <c r="S1349" s="20"/>
    </row>
    <row r="1350" spans="1:19" x14ac:dyDescent="0.35">
      <c r="A1350" s="82"/>
      <c r="B1350" s="19"/>
      <c r="C1350" s="19"/>
      <c r="D1350" s="19"/>
      <c r="E1350" s="19"/>
      <c r="F1350" s="19"/>
      <c r="G1350" s="19"/>
      <c r="H1350" s="19"/>
      <c r="I1350" s="19"/>
      <c r="J1350" s="19"/>
      <c r="K1350" s="19"/>
      <c r="L1350" s="19"/>
      <c r="M1350" s="19"/>
      <c r="N1350" s="19"/>
      <c r="O1350" s="19"/>
      <c r="P1350" s="19"/>
      <c r="Q1350" s="19"/>
      <c r="R1350" s="19"/>
      <c r="S1350" s="20"/>
    </row>
    <row r="1351" spans="1:19" x14ac:dyDescent="0.35">
      <c r="A1351" s="82"/>
      <c r="B1351" s="19"/>
      <c r="C1351" s="19"/>
      <c r="D1351" s="19"/>
      <c r="E1351" s="19"/>
      <c r="F1351" s="19"/>
      <c r="G1351" s="19"/>
      <c r="H1351" s="19"/>
      <c r="I1351" s="19"/>
      <c r="J1351" s="19"/>
      <c r="K1351" s="19"/>
      <c r="L1351" s="19"/>
      <c r="M1351" s="19"/>
      <c r="N1351" s="19"/>
      <c r="O1351" s="19"/>
      <c r="P1351" s="19"/>
      <c r="Q1351" s="19"/>
      <c r="R1351" s="19"/>
      <c r="S1351" s="20"/>
    </row>
    <row r="1352" spans="1:19" x14ac:dyDescent="0.35">
      <c r="A1352" s="82"/>
      <c r="B1352" s="19"/>
      <c r="C1352" s="19"/>
      <c r="D1352" s="19"/>
      <c r="E1352" s="19"/>
      <c r="F1352" s="19"/>
      <c r="G1352" s="19"/>
      <c r="H1352" s="19"/>
      <c r="I1352" s="19"/>
      <c r="J1352" s="19"/>
      <c r="K1352" s="19"/>
      <c r="L1352" s="19"/>
      <c r="M1352" s="19"/>
      <c r="N1352" s="19"/>
      <c r="O1352" s="19"/>
      <c r="P1352" s="19"/>
      <c r="Q1352" s="19"/>
      <c r="S1352" s="20"/>
    </row>
    <row r="1353" spans="1:19" x14ac:dyDescent="0.35">
      <c r="A1353" s="81"/>
      <c r="B1353" s="17"/>
      <c r="C1353" s="17"/>
      <c r="D1353" s="17"/>
      <c r="E1353" s="17"/>
      <c r="F1353" s="17"/>
      <c r="G1353" s="17"/>
      <c r="H1353" s="17"/>
      <c r="I1353" s="17"/>
      <c r="J1353" s="17"/>
      <c r="K1353" s="17"/>
      <c r="L1353" s="17"/>
      <c r="M1353" s="17"/>
      <c r="N1353" s="17"/>
      <c r="O1353" s="17"/>
      <c r="P1353" s="17"/>
      <c r="Q1353" s="17"/>
      <c r="R1353" s="30"/>
      <c r="S1353" s="20"/>
    </row>
    <row r="1354" spans="1:19" x14ac:dyDescent="0.35">
      <c r="A1354" s="82"/>
      <c r="B1354" s="19"/>
      <c r="C1354" s="19"/>
      <c r="D1354" s="19"/>
      <c r="E1354" s="19"/>
      <c r="F1354" s="19"/>
      <c r="G1354" s="19"/>
      <c r="H1354" s="19"/>
      <c r="I1354" s="19"/>
      <c r="J1354" s="19"/>
      <c r="K1354" s="19"/>
      <c r="L1354" s="19"/>
      <c r="M1354" s="19"/>
      <c r="N1354" s="19"/>
      <c r="O1354" s="19"/>
      <c r="P1354" s="19"/>
      <c r="Q1354" s="19"/>
      <c r="S1354" s="20"/>
    </row>
    <row r="1355" spans="1:19" x14ac:dyDescent="0.35">
      <c r="A1355" s="81"/>
      <c r="B1355" s="17"/>
      <c r="C1355" s="17"/>
      <c r="D1355" s="17"/>
      <c r="E1355" s="17"/>
      <c r="F1355" s="17"/>
      <c r="G1355" s="17"/>
      <c r="H1355" s="17"/>
      <c r="I1355" s="17"/>
      <c r="J1355" s="17"/>
      <c r="K1355" s="17"/>
      <c r="L1355" s="17"/>
      <c r="M1355" s="17"/>
      <c r="N1355" s="17"/>
      <c r="O1355" s="17"/>
      <c r="P1355" s="17"/>
      <c r="Q1355" s="17"/>
      <c r="R1355" s="30"/>
      <c r="S1355" s="18"/>
    </row>
    <row r="1356" spans="1:19" x14ac:dyDescent="0.35">
      <c r="A1356" s="81"/>
      <c r="B1356" s="17"/>
      <c r="C1356" s="17"/>
      <c r="D1356" s="17"/>
      <c r="E1356" s="17"/>
      <c r="F1356" s="17"/>
      <c r="G1356" s="17"/>
      <c r="H1356" s="17"/>
      <c r="I1356" s="17"/>
      <c r="J1356" s="17"/>
      <c r="K1356" s="17"/>
      <c r="L1356" s="17"/>
      <c r="M1356" s="17"/>
      <c r="N1356" s="17"/>
      <c r="O1356" s="17"/>
      <c r="P1356" s="17"/>
      <c r="Q1356" s="17"/>
      <c r="R1356" s="30"/>
      <c r="S1356" s="18"/>
    </row>
    <row r="1357" spans="1:19" x14ac:dyDescent="0.35">
      <c r="A1357" s="82"/>
      <c r="B1357" s="19"/>
      <c r="C1357" s="19"/>
      <c r="D1357" s="19"/>
      <c r="E1357" s="19"/>
      <c r="F1357" s="19"/>
      <c r="G1357" s="19"/>
      <c r="H1357" s="19"/>
      <c r="I1357" s="19"/>
      <c r="J1357" s="19"/>
      <c r="K1357" s="19"/>
      <c r="L1357" s="19"/>
      <c r="M1357" s="19"/>
      <c r="N1357" s="19"/>
      <c r="O1357" s="19"/>
      <c r="P1357" s="19"/>
      <c r="Q1357" s="19"/>
      <c r="S1357" s="20"/>
    </row>
    <row r="1358" spans="1:19" x14ac:dyDescent="0.35">
      <c r="A1358" s="81"/>
      <c r="B1358" s="17"/>
      <c r="C1358" s="17"/>
      <c r="D1358" s="17"/>
      <c r="E1358" s="17"/>
      <c r="F1358" s="17"/>
      <c r="G1358" s="17"/>
      <c r="H1358" s="17"/>
      <c r="I1358" s="17"/>
      <c r="J1358" s="17"/>
      <c r="K1358" s="17"/>
      <c r="L1358" s="17"/>
      <c r="M1358" s="17"/>
      <c r="N1358" s="17"/>
      <c r="O1358" s="17"/>
      <c r="P1358" s="17"/>
      <c r="Q1358" s="17"/>
      <c r="R1358" s="30"/>
      <c r="S1358" s="20"/>
    </row>
    <row r="1359" spans="1:19" x14ac:dyDescent="0.35">
      <c r="A1359" s="81"/>
      <c r="B1359" s="17"/>
      <c r="C1359" s="17"/>
      <c r="D1359" s="17"/>
      <c r="E1359" s="17"/>
      <c r="F1359" s="17"/>
      <c r="G1359" s="17"/>
      <c r="H1359" s="17"/>
      <c r="I1359" s="17"/>
      <c r="J1359" s="17"/>
      <c r="K1359" s="17"/>
      <c r="L1359" s="17"/>
      <c r="M1359" s="17"/>
      <c r="N1359" s="17"/>
      <c r="O1359" s="17"/>
      <c r="P1359" s="17"/>
      <c r="Q1359" s="17"/>
      <c r="R1359" s="30"/>
      <c r="S1359" s="20"/>
    </row>
    <row r="1360" spans="1:19" x14ac:dyDescent="0.35">
      <c r="A1360" s="81"/>
      <c r="B1360" s="17"/>
      <c r="C1360" s="17"/>
      <c r="D1360" s="17"/>
      <c r="E1360" s="17"/>
      <c r="F1360" s="17"/>
      <c r="G1360" s="17"/>
      <c r="H1360" s="17"/>
      <c r="I1360" s="17"/>
      <c r="J1360" s="17"/>
      <c r="K1360" s="17"/>
      <c r="L1360" s="17"/>
      <c r="M1360" s="17"/>
      <c r="N1360" s="17"/>
      <c r="O1360" s="17"/>
      <c r="P1360" s="17"/>
      <c r="Q1360" s="17"/>
      <c r="R1360" s="30"/>
      <c r="S1360" s="18"/>
    </row>
    <row r="1361" spans="1:19" x14ac:dyDescent="0.35">
      <c r="A1361" s="81"/>
      <c r="B1361" s="17"/>
      <c r="C1361" s="17"/>
      <c r="D1361" s="17"/>
      <c r="E1361" s="17"/>
      <c r="F1361" s="17"/>
      <c r="G1361" s="17"/>
      <c r="H1361" s="17"/>
      <c r="I1361" s="17"/>
      <c r="J1361" s="17"/>
      <c r="K1361" s="17"/>
      <c r="L1361" s="19"/>
      <c r="M1361" s="19"/>
      <c r="N1361" s="19"/>
      <c r="O1361" s="17"/>
      <c r="P1361" s="17"/>
      <c r="Q1361" s="17"/>
      <c r="R1361" s="30"/>
      <c r="S1361" s="18"/>
    </row>
    <row r="1362" spans="1:19" x14ac:dyDescent="0.35">
      <c r="A1362" s="82"/>
      <c r="B1362" s="19"/>
      <c r="C1362" s="19"/>
      <c r="D1362" s="19"/>
      <c r="E1362" s="19"/>
      <c r="F1362" s="19"/>
      <c r="G1362" s="19"/>
      <c r="H1362" s="19"/>
      <c r="I1362" s="19"/>
      <c r="J1362" s="19"/>
      <c r="K1362" s="19"/>
      <c r="L1362" s="19"/>
      <c r="M1362" s="19"/>
      <c r="N1362" s="19"/>
      <c r="O1362" s="19"/>
      <c r="P1362" s="19"/>
      <c r="Q1362" s="19"/>
      <c r="S1362" s="20"/>
    </row>
    <row r="1363" spans="1:19" x14ac:dyDescent="0.35">
      <c r="A1363" s="82"/>
      <c r="B1363" s="19"/>
      <c r="C1363" s="19"/>
      <c r="D1363" s="19"/>
      <c r="E1363" s="19"/>
      <c r="F1363" s="19"/>
      <c r="G1363" s="19"/>
      <c r="H1363" s="19"/>
      <c r="I1363" s="19"/>
      <c r="J1363" s="19"/>
      <c r="K1363" s="19"/>
      <c r="L1363" s="19"/>
      <c r="M1363" s="19"/>
      <c r="N1363" s="19"/>
      <c r="O1363" s="19"/>
      <c r="P1363" s="19"/>
      <c r="Q1363" s="19"/>
      <c r="S1363" s="20"/>
    </row>
    <row r="1364" spans="1:19" x14ac:dyDescent="0.35">
      <c r="A1364" s="81"/>
      <c r="B1364" s="17"/>
      <c r="C1364" s="17"/>
      <c r="D1364" s="17"/>
      <c r="E1364" s="17"/>
      <c r="F1364" s="17"/>
      <c r="G1364" s="17"/>
      <c r="H1364" s="17"/>
      <c r="I1364" s="17"/>
      <c r="J1364" s="17"/>
      <c r="K1364" s="17"/>
      <c r="L1364" s="17"/>
      <c r="M1364" s="17"/>
      <c r="N1364" s="17"/>
      <c r="O1364" s="17"/>
      <c r="P1364" s="17"/>
      <c r="Q1364" s="17"/>
      <c r="R1364" s="30"/>
      <c r="S1364" s="20"/>
    </row>
    <row r="1365" spans="1:19" x14ac:dyDescent="0.35">
      <c r="A1365" s="81"/>
      <c r="B1365" s="17"/>
      <c r="C1365" s="17"/>
      <c r="D1365" s="17"/>
      <c r="E1365" s="17"/>
      <c r="F1365" s="17"/>
      <c r="G1365" s="17"/>
      <c r="H1365" s="17"/>
      <c r="I1365" s="17"/>
      <c r="J1365" s="17"/>
      <c r="K1365" s="17"/>
      <c r="L1365" s="17"/>
      <c r="M1365" s="17"/>
      <c r="N1365" s="17"/>
      <c r="O1365" s="17"/>
      <c r="P1365" s="17"/>
      <c r="Q1365" s="17"/>
      <c r="R1365" s="30"/>
      <c r="S1365" s="20"/>
    </row>
    <row r="1366" spans="1:19" x14ac:dyDescent="0.35">
      <c r="A1366" s="82"/>
      <c r="B1366" s="19"/>
      <c r="C1366" s="19"/>
      <c r="D1366" s="19"/>
      <c r="E1366" s="19"/>
      <c r="F1366" s="19"/>
      <c r="G1366" s="19"/>
      <c r="H1366" s="19"/>
      <c r="I1366" s="19"/>
      <c r="J1366" s="19"/>
      <c r="K1366" s="19"/>
      <c r="L1366" s="19"/>
      <c r="M1366" s="19"/>
      <c r="N1366" s="19"/>
      <c r="O1366" s="19"/>
      <c r="P1366" s="19"/>
      <c r="Q1366" s="19"/>
      <c r="S1366" s="20"/>
    </row>
    <row r="1367" spans="1:19" x14ac:dyDescent="0.35">
      <c r="A1367" s="82"/>
      <c r="B1367" s="19"/>
      <c r="C1367" s="19"/>
      <c r="D1367" s="19"/>
      <c r="E1367" s="19"/>
      <c r="F1367" s="19"/>
      <c r="G1367" s="19"/>
      <c r="H1367" s="19"/>
      <c r="I1367" s="19"/>
      <c r="J1367" s="19"/>
      <c r="K1367" s="19"/>
      <c r="L1367" s="19"/>
      <c r="M1367" s="19"/>
      <c r="N1367" s="19"/>
      <c r="O1367" s="19"/>
      <c r="P1367" s="19"/>
      <c r="Q1367" s="19"/>
      <c r="S1367" s="20"/>
    </row>
    <row r="1368" spans="1:19" x14ac:dyDescent="0.35">
      <c r="A1368" s="82"/>
      <c r="B1368" s="19"/>
      <c r="C1368" s="19"/>
      <c r="D1368" s="19"/>
      <c r="E1368" s="19"/>
      <c r="F1368" s="19"/>
      <c r="G1368" s="19"/>
      <c r="H1368" s="19"/>
      <c r="I1368" s="19"/>
      <c r="J1368" s="19"/>
      <c r="K1368" s="19"/>
      <c r="L1368" s="19"/>
      <c r="M1368" s="19"/>
      <c r="N1368" s="19"/>
      <c r="O1368" s="19"/>
      <c r="P1368" s="19"/>
      <c r="Q1368" s="19"/>
      <c r="S1368" s="20"/>
    </row>
    <row r="1369" spans="1:19" x14ac:dyDescent="0.35">
      <c r="A1369" s="82"/>
      <c r="B1369" s="19"/>
      <c r="C1369" s="19"/>
      <c r="D1369" s="19"/>
      <c r="E1369" s="19"/>
      <c r="F1369" s="19"/>
      <c r="G1369" s="19"/>
      <c r="H1369" s="19"/>
      <c r="I1369" s="19"/>
      <c r="J1369" s="19"/>
      <c r="K1369" s="19"/>
      <c r="L1369" s="19"/>
      <c r="M1369" s="19"/>
      <c r="N1369" s="19"/>
      <c r="O1369" s="19"/>
      <c r="P1369" s="19"/>
      <c r="Q1369" s="19"/>
      <c r="S1369" s="18"/>
    </row>
    <row r="1370" spans="1:19" x14ac:dyDescent="0.35">
      <c r="A1370" s="82"/>
      <c r="B1370" s="19"/>
      <c r="C1370" s="19"/>
      <c r="D1370" s="19"/>
      <c r="E1370" s="19"/>
      <c r="F1370" s="19"/>
      <c r="G1370" s="19"/>
      <c r="H1370" s="19"/>
      <c r="I1370" s="19"/>
      <c r="J1370" s="19"/>
      <c r="K1370" s="19"/>
      <c r="L1370" s="19"/>
      <c r="M1370" s="19"/>
      <c r="N1370" s="19"/>
      <c r="O1370" s="19"/>
      <c r="P1370" s="19"/>
      <c r="Q1370" s="19"/>
      <c r="S1370" s="20"/>
    </row>
    <row r="1371" spans="1:19" x14ac:dyDescent="0.35">
      <c r="A1371" s="82"/>
      <c r="B1371" s="19"/>
      <c r="C1371" s="19"/>
      <c r="D1371" s="19"/>
      <c r="E1371" s="19"/>
      <c r="F1371" s="19"/>
      <c r="G1371" s="19"/>
      <c r="H1371" s="19"/>
      <c r="I1371" s="19"/>
      <c r="J1371" s="19"/>
      <c r="K1371" s="19"/>
      <c r="L1371" s="19"/>
      <c r="M1371" s="19"/>
      <c r="N1371" s="19"/>
      <c r="O1371" s="19"/>
      <c r="P1371" s="19"/>
      <c r="Q1371" s="19"/>
      <c r="S1371" s="20"/>
    </row>
    <row r="1372" spans="1:19" x14ac:dyDescent="0.35">
      <c r="A1372" s="81"/>
      <c r="B1372" s="17"/>
      <c r="C1372" s="17"/>
      <c r="D1372" s="17"/>
      <c r="E1372" s="17"/>
      <c r="F1372" s="17"/>
      <c r="G1372" s="17"/>
      <c r="H1372" s="17"/>
      <c r="I1372" s="17"/>
      <c r="J1372" s="17"/>
      <c r="K1372" s="17"/>
      <c r="L1372" s="17"/>
      <c r="M1372" s="17"/>
      <c r="N1372" s="17"/>
      <c r="O1372" s="17"/>
      <c r="P1372" s="17"/>
      <c r="Q1372" s="17"/>
      <c r="R1372" s="17"/>
      <c r="S1372" s="18"/>
    </row>
    <row r="1373" spans="1:19" x14ac:dyDescent="0.35">
      <c r="A1373" s="82"/>
      <c r="B1373" s="19"/>
      <c r="C1373" s="19"/>
      <c r="D1373" s="19"/>
      <c r="E1373" s="19"/>
      <c r="F1373" s="19"/>
      <c r="G1373" s="19"/>
      <c r="H1373" s="19"/>
      <c r="I1373" s="19"/>
      <c r="J1373" s="19"/>
      <c r="K1373" s="19"/>
      <c r="L1373" s="19"/>
      <c r="M1373" s="19"/>
      <c r="N1373" s="19"/>
      <c r="O1373" s="19"/>
      <c r="P1373" s="19"/>
      <c r="Q1373" s="19"/>
      <c r="R1373" s="19"/>
      <c r="S1373" s="20"/>
    </row>
    <row r="1374" spans="1:19" x14ac:dyDescent="0.35">
      <c r="A1374" s="81"/>
      <c r="B1374" s="17"/>
      <c r="C1374" s="17"/>
      <c r="D1374" s="17"/>
      <c r="E1374" s="17"/>
      <c r="F1374" s="17"/>
      <c r="G1374" s="17"/>
      <c r="H1374" s="17"/>
      <c r="I1374" s="17"/>
      <c r="J1374" s="17"/>
      <c r="K1374" s="17"/>
      <c r="L1374" s="17"/>
      <c r="M1374" s="17"/>
      <c r="N1374" s="17"/>
      <c r="O1374" s="17"/>
      <c r="P1374" s="17"/>
      <c r="Q1374" s="17"/>
      <c r="R1374" s="17"/>
      <c r="S1374" s="20"/>
    </row>
    <row r="1375" spans="1:19" x14ac:dyDescent="0.35">
      <c r="A1375" s="82"/>
      <c r="B1375" s="19"/>
      <c r="C1375" s="19"/>
      <c r="D1375" s="19"/>
      <c r="E1375" s="19"/>
      <c r="F1375" s="19"/>
      <c r="G1375" s="19"/>
      <c r="H1375" s="19"/>
      <c r="I1375" s="19"/>
      <c r="J1375" s="19"/>
      <c r="K1375" s="19"/>
      <c r="L1375" s="19"/>
      <c r="M1375" s="19"/>
      <c r="N1375" s="19"/>
      <c r="O1375" s="19"/>
      <c r="P1375" s="19"/>
      <c r="Q1375" s="19"/>
      <c r="R1375" s="19"/>
      <c r="S1375" s="20"/>
    </row>
    <row r="1376" spans="1:19" x14ac:dyDescent="0.35">
      <c r="A1376" s="81"/>
      <c r="B1376" s="17"/>
      <c r="C1376" s="17"/>
      <c r="D1376" s="17"/>
      <c r="E1376" s="17"/>
      <c r="F1376" s="17"/>
      <c r="G1376" s="17"/>
      <c r="H1376" s="17"/>
      <c r="I1376" s="17"/>
      <c r="J1376" s="17"/>
      <c r="K1376" s="17"/>
      <c r="L1376" s="17"/>
      <c r="M1376" s="17"/>
      <c r="N1376" s="17"/>
      <c r="O1376" s="17"/>
      <c r="P1376" s="17"/>
      <c r="Q1376" s="17"/>
      <c r="R1376" s="17"/>
      <c r="S1376" s="20"/>
    </row>
    <row r="1377" spans="1:19" x14ac:dyDescent="0.35">
      <c r="A1377" s="81"/>
      <c r="B1377" s="17"/>
      <c r="C1377" s="17"/>
      <c r="D1377" s="17"/>
      <c r="E1377" s="17"/>
      <c r="F1377" s="17"/>
      <c r="G1377" s="17"/>
      <c r="H1377" s="17"/>
      <c r="I1377" s="17"/>
      <c r="J1377" s="17"/>
      <c r="K1377" s="17"/>
      <c r="L1377" s="17"/>
      <c r="M1377" s="17"/>
      <c r="N1377" s="17"/>
      <c r="O1377" s="17"/>
      <c r="P1377" s="17"/>
      <c r="Q1377" s="17"/>
      <c r="R1377" s="17"/>
      <c r="S1377" s="20"/>
    </row>
    <row r="1378" spans="1:19" x14ac:dyDescent="0.35">
      <c r="A1378" s="81"/>
      <c r="B1378" s="17"/>
      <c r="C1378" s="17"/>
      <c r="D1378" s="17"/>
      <c r="E1378" s="17"/>
      <c r="F1378" s="17"/>
      <c r="G1378" s="17"/>
      <c r="H1378" s="17"/>
      <c r="I1378" s="17"/>
      <c r="J1378" s="17"/>
      <c r="K1378" s="17"/>
      <c r="L1378" s="17"/>
      <c r="M1378" s="17"/>
      <c r="N1378" s="17"/>
      <c r="O1378" s="17"/>
      <c r="P1378" s="17"/>
      <c r="Q1378" s="17"/>
      <c r="R1378" s="17"/>
      <c r="S1378" s="20"/>
    </row>
    <row r="1379" spans="1:19" x14ac:dyDescent="0.35">
      <c r="A1379" s="81"/>
      <c r="B1379" s="17"/>
      <c r="C1379" s="17"/>
      <c r="D1379" s="17"/>
      <c r="E1379" s="17"/>
      <c r="F1379" s="17"/>
      <c r="G1379" s="17"/>
      <c r="H1379" s="17"/>
      <c r="I1379" s="17"/>
      <c r="J1379" s="17"/>
      <c r="K1379" s="17"/>
      <c r="L1379" s="17"/>
      <c r="M1379" s="17"/>
      <c r="N1379" s="17"/>
      <c r="O1379" s="17"/>
      <c r="P1379" s="17"/>
      <c r="Q1379" s="17"/>
      <c r="R1379" s="17"/>
      <c r="S1379" s="20"/>
    </row>
    <row r="1380" spans="1:19" x14ac:dyDescent="0.35">
      <c r="A1380" s="82"/>
      <c r="B1380" s="19"/>
      <c r="C1380" s="19"/>
      <c r="D1380" s="19"/>
      <c r="E1380" s="19"/>
      <c r="F1380" s="19"/>
      <c r="G1380" s="19"/>
      <c r="H1380" s="19"/>
      <c r="I1380" s="19"/>
      <c r="J1380" s="19"/>
      <c r="K1380" s="19"/>
      <c r="L1380" s="19"/>
      <c r="M1380" s="19"/>
      <c r="N1380" s="19"/>
      <c r="O1380" s="19"/>
      <c r="P1380" s="19"/>
      <c r="Q1380" s="19"/>
      <c r="R1380" s="19"/>
      <c r="S1380" s="20"/>
    </row>
    <row r="1381" spans="1:19" x14ac:dyDescent="0.35">
      <c r="A1381" s="81"/>
      <c r="B1381" s="17"/>
      <c r="C1381" s="17"/>
      <c r="D1381" s="17"/>
      <c r="E1381" s="17"/>
      <c r="F1381" s="17"/>
      <c r="G1381" s="17"/>
      <c r="H1381" s="17"/>
      <c r="I1381" s="17"/>
      <c r="J1381" s="17"/>
      <c r="K1381" s="17"/>
      <c r="L1381" s="17"/>
      <c r="M1381" s="17"/>
      <c r="N1381" s="17"/>
      <c r="O1381" s="17"/>
      <c r="P1381" s="17"/>
      <c r="Q1381" s="17"/>
      <c r="R1381" s="17"/>
      <c r="S1381" s="18"/>
    </row>
    <row r="1382" spans="1:19" x14ac:dyDescent="0.35">
      <c r="A1382" s="81"/>
      <c r="B1382" s="17"/>
      <c r="C1382" s="17"/>
      <c r="D1382" s="17"/>
      <c r="E1382" s="17"/>
      <c r="F1382" s="17"/>
      <c r="G1382" s="17"/>
      <c r="H1382" s="17"/>
      <c r="I1382" s="17"/>
      <c r="J1382" s="17"/>
      <c r="K1382" s="17"/>
      <c r="L1382" s="17"/>
      <c r="M1382" s="17"/>
      <c r="N1382" s="17"/>
      <c r="O1382" s="17"/>
      <c r="P1382" s="17"/>
      <c r="Q1382" s="17"/>
      <c r="R1382" s="17"/>
      <c r="S1382" s="20"/>
    </row>
    <row r="1383" spans="1:19" x14ac:dyDescent="0.35">
      <c r="A1383" s="82"/>
      <c r="B1383" s="19"/>
      <c r="C1383" s="19"/>
      <c r="D1383" s="19"/>
      <c r="E1383" s="19"/>
      <c r="F1383" s="19"/>
      <c r="G1383" s="19"/>
      <c r="H1383" s="19"/>
      <c r="I1383" s="19"/>
      <c r="J1383" s="19"/>
      <c r="K1383" s="19"/>
      <c r="L1383" s="19"/>
      <c r="M1383" s="19"/>
      <c r="N1383" s="19"/>
      <c r="O1383" s="19"/>
      <c r="P1383" s="19"/>
      <c r="Q1383" s="19"/>
      <c r="R1383" s="19"/>
      <c r="S1383" s="20"/>
    </row>
    <row r="1384" spans="1:19" x14ac:dyDescent="0.35">
      <c r="A1384" s="82"/>
      <c r="B1384" s="19"/>
      <c r="C1384" s="19"/>
      <c r="D1384" s="19"/>
      <c r="E1384" s="19"/>
      <c r="F1384" s="19"/>
      <c r="G1384" s="19"/>
      <c r="H1384" s="19"/>
      <c r="I1384" s="19"/>
      <c r="J1384" s="19"/>
      <c r="K1384" s="19"/>
      <c r="L1384" s="19"/>
      <c r="M1384" s="19"/>
      <c r="N1384" s="19"/>
      <c r="O1384" s="19"/>
      <c r="P1384" s="19"/>
      <c r="Q1384" s="19"/>
      <c r="R1384" s="19"/>
      <c r="S1384" s="20"/>
    </row>
    <row r="1385" spans="1:19" x14ac:dyDescent="0.35">
      <c r="A1385" s="82"/>
      <c r="B1385" s="19"/>
      <c r="C1385" s="19"/>
      <c r="D1385" s="19"/>
      <c r="E1385" s="19"/>
      <c r="F1385" s="19"/>
      <c r="G1385" s="19"/>
      <c r="H1385" s="19"/>
      <c r="I1385" s="19"/>
      <c r="J1385" s="19"/>
      <c r="K1385" s="19"/>
      <c r="L1385" s="19"/>
      <c r="M1385" s="19"/>
      <c r="N1385" s="19"/>
      <c r="O1385" s="19"/>
      <c r="P1385" s="19"/>
      <c r="Q1385" s="19"/>
      <c r="R1385" s="19"/>
      <c r="S1385" s="20"/>
    </row>
    <row r="1386" spans="1:19" x14ac:dyDescent="0.35">
      <c r="A1386" s="81"/>
      <c r="B1386" s="17"/>
      <c r="C1386" s="17"/>
      <c r="D1386" s="17"/>
      <c r="E1386" s="17"/>
      <c r="F1386" s="17"/>
      <c r="G1386" s="17"/>
      <c r="H1386" s="17"/>
      <c r="I1386" s="17"/>
      <c r="J1386" s="17"/>
      <c r="K1386" s="17"/>
      <c r="L1386" s="17"/>
      <c r="M1386" s="17"/>
      <c r="N1386" s="17"/>
      <c r="O1386" s="17"/>
      <c r="P1386" s="17"/>
      <c r="Q1386" s="17"/>
      <c r="R1386" s="17"/>
      <c r="S1386" s="18"/>
    </row>
    <row r="1387" spans="1:19" x14ac:dyDescent="0.35">
      <c r="A1387" s="81"/>
      <c r="B1387" s="17"/>
      <c r="C1387" s="17"/>
      <c r="D1387" s="17"/>
      <c r="E1387" s="17"/>
      <c r="F1387" s="17"/>
      <c r="G1387" s="17"/>
      <c r="H1387" s="17"/>
      <c r="I1387" s="17"/>
      <c r="J1387" s="17"/>
      <c r="K1387" s="17"/>
      <c r="L1387" s="17"/>
      <c r="M1387" s="17"/>
      <c r="N1387" s="17"/>
      <c r="O1387" s="17"/>
      <c r="P1387" s="17"/>
      <c r="Q1387" s="17"/>
      <c r="R1387" s="17"/>
      <c r="S1387" s="20"/>
    </row>
    <row r="1388" spans="1:19" x14ac:dyDescent="0.35">
      <c r="A1388" s="82"/>
      <c r="B1388" s="19"/>
      <c r="C1388" s="19"/>
      <c r="D1388" s="19"/>
      <c r="E1388" s="19"/>
      <c r="F1388" s="19"/>
      <c r="G1388" s="19"/>
      <c r="H1388" s="19"/>
      <c r="I1388" s="19"/>
      <c r="J1388" s="19"/>
      <c r="K1388" s="19"/>
      <c r="L1388" s="19"/>
      <c r="M1388" s="19"/>
      <c r="N1388" s="19"/>
      <c r="O1388" s="19"/>
      <c r="P1388" s="19"/>
      <c r="Q1388" s="19"/>
      <c r="R1388" s="19"/>
      <c r="S1388" s="20"/>
    </row>
    <row r="1389" spans="1:19" x14ac:dyDescent="0.35">
      <c r="A1389" s="82"/>
      <c r="B1389" s="19"/>
      <c r="C1389" s="19"/>
      <c r="D1389" s="19"/>
      <c r="E1389" s="19"/>
      <c r="F1389" s="19"/>
      <c r="G1389" s="19"/>
      <c r="H1389" s="19"/>
      <c r="I1389" s="19"/>
      <c r="J1389" s="19"/>
      <c r="K1389" s="19"/>
      <c r="L1389" s="19"/>
      <c r="M1389" s="19"/>
      <c r="N1389" s="19"/>
      <c r="O1389" s="19"/>
      <c r="P1389" s="19"/>
      <c r="Q1389" s="19"/>
      <c r="R1389" s="19"/>
      <c r="S1389" s="20"/>
    </row>
    <row r="1390" spans="1:19" x14ac:dyDescent="0.35">
      <c r="A1390" s="81"/>
      <c r="B1390" s="17"/>
      <c r="C1390" s="17"/>
      <c r="D1390" s="17"/>
      <c r="E1390" s="17"/>
      <c r="F1390" s="17"/>
      <c r="G1390" s="17"/>
      <c r="H1390" s="17"/>
      <c r="I1390" s="17"/>
      <c r="J1390" s="17"/>
      <c r="K1390" s="17"/>
      <c r="L1390" s="17"/>
      <c r="M1390" s="17"/>
      <c r="N1390" s="17"/>
      <c r="O1390" s="17"/>
      <c r="P1390" s="17"/>
      <c r="Q1390" s="17"/>
      <c r="R1390" s="17"/>
      <c r="S1390" s="18"/>
    </row>
    <row r="1391" spans="1:19" x14ac:dyDescent="0.35">
      <c r="A1391" s="82"/>
      <c r="B1391" s="19"/>
      <c r="C1391" s="19"/>
      <c r="D1391" s="19"/>
      <c r="E1391" s="19"/>
      <c r="F1391" s="19"/>
      <c r="G1391" s="19"/>
      <c r="H1391" s="19"/>
      <c r="I1391" s="19"/>
      <c r="J1391" s="19"/>
      <c r="K1391" s="19"/>
      <c r="L1391" s="19"/>
      <c r="M1391" s="19"/>
      <c r="N1391" s="19"/>
      <c r="O1391" s="19"/>
      <c r="P1391" s="19"/>
      <c r="Q1391" s="19"/>
      <c r="R1391" s="19"/>
      <c r="S1391" s="20"/>
    </row>
    <row r="1392" spans="1:19" x14ac:dyDescent="0.35">
      <c r="A1392" s="81"/>
      <c r="B1392" s="17"/>
      <c r="C1392" s="17"/>
      <c r="D1392" s="17"/>
      <c r="E1392" s="17"/>
      <c r="F1392" s="17"/>
      <c r="G1392" s="17"/>
      <c r="H1392" s="17"/>
      <c r="I1392" s="17"/>
      <c r="J1392" s="17"/>
      <c r="K1392" s="17"/>
      <c r="L1392" s="17"/>
      <c r="M1392" s="17"/>
      <c r="N1392" s="17"/>
      <c r="O1392" s="17"/>
      <c r="P1392" s="17"/>
      <c r="Q1392" s="17"/>
      <c r="R1392" s="17"/>
      <c r="S1392" s="20"/>
    </row>
    <row r="1393" spans="1:19" x14ac:dyDescent="0.35">
      <c r="A1393" s="82"/>
      <c r="B1393" s="19"/>
      <c r="C1393" s="19"/>
      <c r="D1393" s="19"/>
      <c r="E1393" s="19"/>
      <c r="F1393" s="19"/>
      <c r="G1393" s="19"/>
      <c r="H1393" s="19"/>
      <c r="I1393" s="19"/>
      <c r="J1393" s="19"/>
      <c r="K1393" s="19"/>
      <c r="L1393" s="19"/>
      <c r="M1393" s="19"/>
      <c r="N1393" s="19"/>
      <c r="O1393" s="19"/>
      <c r="P1393" s="19"/>
      <c r="Q1393" s="19"/>
      <c r="R1393" s="19"/>
      <c r="S1393" s="20"/>
    </row>
    <row r="1394" spans="1:19" x14ac:dyDescent="0.35">
      <c r="A1394" s="82"/>
      <c r="B1394" s="19"/>
      <c r="C1394" s="19"/>
      <c r="D1394" s="19"/>
      <c r="E1394" s="19"/>
      <c r="F1394" s="19"/>
      <c r="G1394" s="19"/>
      <c r="H1394" s="19"/>
      <c r="I1394" s="19"/>
      <c r="J1394" s="19"/>
      <c r="K1394" s="19"/>
      <c r="L1394" s="19"/>
      <c r="M1394" s="19"/>
      <c r="N1394" s="19"/>
      <c r="O1394" s="19"/>
      <c r="P1394" s="19"/>
      <c r="Q1394" s="19"/>
      <c r="R1394" s="19"/>
      <c r="S1394" s="20"/>
    </row>
    <row r="1395" spans="1:19" x14ac:dyDescent="0.35">
      <c r="A1395" s="82"/>
      <c r="B1395" s="19"/>
      <c r="C1395" s="19"/>
      <c r="D1395" s="19"/>
      <c r="E1395" s="19"/>
      <c r="F1395" s="19"/>
      <c r="G1395" s="19"/>
      <c r="H1395" s="19"/>
      <c r="I1395" s="19"/>
      <c r="J1395" s="19"/>
      <c r="K1395" s="19"/>
      <c r="L1395" s="19"/>
      <c r="M1395" s="19"/>
      <c r="N1395" s="19"/>
      <c r="O1395" s="19"/>
      <c r="P1395" s="19"/>
      <c r="Q1395" s="19"/>
      <c r="R1395" s="19"/>
      <c r="S1395" s="20"/>
    </row>
    <row r="1396" spans="1:19" x14ac:dyDescent="0.35">
      <c r="A1396" s="81"/>
      <c r="B1396" s="17"/>
      <c r="C1396" s="17"/>
      <c r="D1396" s="17"/>
      <c r="E1396" s="17"/>
      <c r="F1396" s="17"/>
      <c r="G1396" s="17"/>
      <c r="H1396" s="17"/>
      <c r="I1396" s="17"/>
      <c r="J1396" s="17"/>
      <c r="K1396" s="17"/>
      <c r="L1396" s="17"/>
      <c r="M1396" s="17"/>
      <c r="N1396" s="17"/>
      <c r="O1396" s="17"/>
      <c r="P1396" s="17"/>
      <c r="Q1396" s="17"/>
      <c r="R1396" s="17"/>
      <c r="S1396" s="20"/>
    </row>
    <row r="1397" spans="1:19" x14ac:dyDescent="0.35">
      <c r="A1397" s="82"/>
      <c r="B1397" s="19"/>
      <c r="C1397" s="19"/>
      <c r="D1397" s="19"/>
      <c r="E1397" s="19"/>
      <c r="F1397" s="19"/>
      <c r="G1397" s="19"/>
      <c r="H1397" s="19"/>
      <c r="I1397" s="19"/>
      <c r="J1397" s="19"/>
      <c r="K1397" s="19"/>
      <c r="L1397" s="19"/>
      <c r="M1397" s="19"/>
      <c r="N1397" s="19"/>
      <c r="O1397" s="19"/>
      <c r="P1397" s="19"/>
      <c r="Q1397" s="19"/>
      <c r="R1397" s="19"/>
      <c r="S1397" s="20"/>
    </row>
    <row r="1398" spans="1:19" x14ac:dyDescent="0.35">
      <c r="A1398" s="82"/>
      <c r="B1398" s="19"/>
      <c r="C1398" s="19"/>
      <c r="D1398" s="19"/>
      <c r="E1398" s="19"/>
      <c r="F1398" s="19"/>
      <c r="G1398" s="19"/>
      <c r="H1398" s="19"/>
      <c r="I1398" s="19"/>
      <c r="J1398" s="19"/>
      <c r="K1398" s="19"/>
      <c r="L1398" s="19"/>
      <c r="M1398" s="19"/>
      <c r="N1398" s="19"/>
      <c r="O1398" s="19"/>
      <c r="P1398" s="19"/>
      <c r="Q1398" s="19"/>
      <c r="R1398" s="19"/>
      <c r="S1398" s="20"/>
    </row>
    <row r="1399" spans="1:19" x14ac:dyDescent="0.35">
      <c r="A1399" s="82"/>
      <c r="B1399" s="19"/>
      <c r="C1399" s="19"/>
      <c r="D1399" s="19"/>
      <c r="E1399" s="19"/>
      <c r="F1399" s="19"/>
      <c r="G1399" s="19"/>
      <c r="H1399" s="19"/>
      <c r="I1399" s="19"/>
      <c r="J1399" s="19"/>
      <c r="K1399" s="19"/>
      <c r="L1399" s="19"/>
      <c r="M1399" s="19"/>
      <c r="N1399" s="19"/>
      <c r="O1399" s="19"/>
      <c r="P1399" s="19"/>
      <c r="Q1399" s="19"/>
      <c r="R1399" s="19"/>
      <c r="S1399" s="20"/>
    </row>
    <row r="1400" spans="1:19" x14ac:dyDescent="0.35">
      <c r="A1400" s="81"/>
      <c r="B1400" s="17"/>
      <c r="C1400" s="17"/>
      <c r="D1400" s="17"/>
      <c r="E1400" s="17"/>
      <c r="F1400" s="17"/>
      <c r="G1400" s="17"/>
      <c r="H1400" s="17"/>
      <c r="I1400" s="17"/>
      <c r="J1400" s="17"/>
      <c r="K1400" s="17"/>
      <c r="L1400" s="17"/>
      <c r="M1400" s="17"/>
      <c r="N1400" s="17"/>
      <c r="O1400" s="17"/>
      <c r="P1400" s="17"/>
      <c r="Q1400" s="17"/>
      <c r="R1400" s="17"/>
      <c r="S1400" s="20"/>
    </row>
    <row r="1401" spans="1:19" x14ac:dyDescent="0.35">
      <c r="A1401" s="82"/>
      <c r="B1401" s="19"/>
      <c r="C1401" s="19"/>
      <c r="D1401" s="19"/>
      <c r="E1401" s="19"/>
      <c r="F1401" s="19"/>
      <c r="G1401" s="19"/>
      <c r="H1401" s="19"/>
      <c r="I1401" s="19"/>
      <c r="J1401" s="19"/>
      <c r="K1401" s="19"/>
      <c r="L1401" s="19"/>
      <c r="M1401" s="19"/>
      <c r="N1401" s="19"/>
      <c r="O1401" s="19"/>
      <c r="P1401" s="19"/>
      <c r="Q1401" s="19"/>
      <c r="R1401" s="19"/>
      <c r="S1401" s="20"/>
    </row>
    <row r="1402" spans="1:19" x14ac:dyDescent="0.35">
      <c r="A1402" s="82"/>
      <c r="B1402" s="19"/>
      <c r="C1402" s="19"/>
      <c r="D1402" s="19"/>
      <c r="E1402" s="19"/>
      <c r="F1402" s="19"/>
      <c r="G1402" s="19"/>
      <c r="H1402" s="19"/>
      <c r="I1402" s="19"/>
      <c r="J1402" s="19"/>
      <c r="K1402" s="19"/>
      <c r="L1402" s="19"/>
      <c r="M1402" s="19"/>
      <c r="N1402" s="19"/>
      <c r="O1402" s="19"/>
      <c r="P1402" s="19"/>
      <c r="Q1402" s="19"/>
      <c r="R1402" s="19"/>
      <c r="S1402" s="20"/>
    </row>
    <row r="1403" spans="1:19" x14ac:dyDescent="0.35">
      <c r="A1403" s="81"/>
      <c r="B1403" s="17"/>
      <c r="C1403" s="17"/>
      <c r="D1403" s="17"/>
      <c r="E1403" s="17"/>
      <c r="F1403" s="17"/>
      <c r="G1403" s="17"/>
      <c r="H1403" s="17"/>
      <c r="I1403" s="17"/>
      <c r="J1403" s="17"/>
      <c r="K1403" s="17"/>
      <c r="L1403" s="17"/>
      <c r="M1403" s="17"/>
      <c r="N1403" s="17"/>
      <c r="O1403" s="17"/>
      <c r="P1403" s="17"/>
      <c r="Q1403" s="17"/>
      <c r="R1403" s="17"/>
      <c r="S1403" s="20"/>
    </row>
    <row r="1404" spans="1:19" x14ac:dyDescent="0.35">
      <c r="A1404" s="81"/>
      <c r="B1404" s="17"/>
      <c r="C1404" s="17"/>
      <c r="D1404" s="17"/>
      <c r="E1404" s="17"/>
      <c r="F1404" s="17"/>
      <c r="G1404" s="17"/>
      <c r="H1404" s="17"/>
      <c r="I1404" s="17"/>
      <c r="J1404" s="17"/>
      <c r="K1404" s="17"/>
      <c r="L1404" s="17"/>
      <c r="M1404" s="17"/>
      <c r="N1404" s="17"/>
      <c r="O1404" s="17"/>
      <c r="P1404" s="17"/>
      <c r="Q1404" s="17"/>
      <c r="R1404" s="17"/>
      <c r="S1404" s="20"/>
    </row>
    <row r="1405" spans="1:19" x14ac:dyDescent="0.35">
      <c r="A1405" s="81"/>
      <c r="B1405" s="17"/>
      <c r="C1405" s="17"/>
      <c r="D1405" s="17"/>
      <c r="E1405" s="17"/>
      <c r="F1405" s="17"/>
      <c r="G1405" s="17"/>
      <c r="H1405" s="17"/>
      <c r="I1405" s="17"/>
      <c r="J1405" s="17"/>
      <c r="K1405" s="17"/>
      <c r="L1405" s="17"/>
      <c r="M1405" s="17"/>
      <c r="N1405" s="17"/>
      <c r="O1405" s="17"/>
      <c r="P1405" s="17"/>
      <c r="Q1405" s="17"/>
      <c r="R1405" s="17"/>
      <c r="S1405" s="20"/>
    </row>
    <row r="1406" spans="1:19" x14ac:dyDescent="0.35">
      <c r="A1406" s="81"/>
      <c r="B1406" s="17"/>
      <c r="C1406" s="17"/>
      <c r="D1406" s="17"/>
      <c r="E1406" s="17"/>
      <c r="F1406" s="17"/>
      <c r="G1406" s="17"/>
      <c r="H1406" s="17"/>
      <c r="I1406" s="17"/>
      <c r="J1406" s="17"/>
      <c r="K1406" s="17"/>
      <c r="L1406" s="17"/>
      <c r="M1406" s="17"/>
      <c r="N1406" s="17"/>
      <c r="O1406" s="17"/>
      <c r="P1406" s="17"/>
      <c r="Q1406" s="17"/>
      <c r="R1406" s="17"/>
      <c r="S1406" s="20"/>
    </row>
    <row r="1407" spans="1:19" x14ac:dyDescent="0.35">
      <c r="A1407" s="30"/>
      <c r="B1407" s="30"/>
      <c r="C1407" s="30"/>
      <c r="D1407" s="30"/>
      <c r="E1407" s="30"/>
      <c r="F1407" s="30"/>
      <c r="G1407" s="30"/>
      <c r="H1407" s="30"/>
      <c r="I1407" s="30"/>
      <c r="J1407" s="30"/>
      <c r="K1407" s="30"/>
      <c r="L1407" s="30"/>
      <c r="M1407" s="30"/>
      <c r="N1407" s="30"/>
      <c r="O1407" s="30"/>
      <c r="P1407" s="30"/>
      <c r="Q1407" s="30"/>
      <c r="R1407" s="30"/>
      <c r="S1407" s="20"/>
    </row>
    <row r="1408" spans="1:19" x14ac:dyDescent="0.35">
      <c r="S1408" s="20"/>
    </row>
    <row r="1409" spans="1:19" x14ac:dyDescent="0.35">
      <c r="A1409" s="30"/>
      <c r="B1409" s="30"/>
      <c r="C1409" s="30"/>
      <c r="D1409" s="30"/>
      <c r="E1409" s="30"/>
      <c r="F1409" s="30"/>
      <c r="G1409" s="30"/>
      <c r="H1409" s="30"/>
      <c r="I1409" s="30"/>
      <c r="J1409" s="30"/>
      <c r="K1409" s="30"/>
      <c r="L1409" s="30"/>
      <c r="M1409" s="30"/>
      <c r="N1409" s="30"/>
      <c r="O1409" s="30"/>
      <c r="P1409" s="30"/>
      <c r="Q1409" s="30"/>
      <c r="R1409" s="30"/>
      <c r="S1409" s="18"/>
    </row>
    <row r="1410" spans="1:19" x14ac:dyDescent="0.35">
      <c r="A1410" s="30"/>
      <c r="B1410" s="30"/>
      <c r="C1410" s="30"/>
      <c r="D1410" s="30"/>
      <c r="E1410" s="30"/>
      <c r="F1410" s="30"/>
      <c r="G1410" s="30"/>
      <c r="H1410" s="30"/>
      <c r="I1410" s="30"/>
      <c r="J1410" s="30"/>
      <c r="K1410" s="30"/>
      <c r="L1410" s="30"/>
      <c r="M1410" s="30"/>
      <c r="N1410" s="30"/>
      <c r="O1410" s="30"/>
      <c r="P1410" s="30"/>
      <c r="Q1410" s="30"/>
      <c r="R1410" s="30"/>
      <c r="S1410" s="20"/>
    </row>
    <row r="1411" spans="1:19" x14ac:dyDescent="0.35">
      <c r="A1411" s="30"/>
      <c r="B1411" s="30"/>
      <c r="C1411" s="30"/>
      <c r="D1411" s="30"/>
      <c r="E1411" s="30"/>
      <c r="F1411" s="30"/>
      <c r="G1411" s="30"/>
      <c r="H1411" s="30"/>
      <c r="I1411" s="30"/>
      <c r="J1411" s="30"/>
      <c r="K1411" s="30"/>
      <c r="L1411" s="30"/>
      <c r="M1411" s="30"/>
      <c r="N1411" s="30"/>
      <c r="O1411" s="30"/>
      <c r="P1411" s="30"/>
      <c r="Q1411" s="30"/>
      <c r="R1411" s="30"/>
      <c r="S1411" s="20"/>
    </row>
    <row r="1412" spans="1:19" x14ac:dyDescent="0.35">
      <c r="S1412" s="20"/>
    </row>
    <row r="1413" spans="1:19" x14ac:dyDescent="0.35">
      <c r="S1413" s="20"/>
    </row>
    <row r="1414" spans="1:19" x14ac:dyDescent="0.35">
      <c r="S1414" s="20"/>
    </row>
    <row r="1415" spans="1:19" x14ac:dyDescent="0.35">
      <c r="S1415" s="20"/>
    </row>
    <row r="1416" spans="1:19" x14ac:dyDescent="0.35">
      <c r="S1416" s="20"/>
    </row>
    <row r="1417" spans="1:19" x14ac:dyDescent="0.35">
      <c r="S1417" s="20"/>
    </row>
    <row r="1418" spans="1:19" x14ac:dyDescent="0.35">
      <c r="S1418" s="20"/>
    </row>
    <row r="1419" spans="1:19" x14ac:dyDescent="0.35">
      <c r="A1419" s="30"/>
      <c r="B1419" s="30"/>
      <c r="C1419" s="30"/>
      <c r="D1419" s="30"/>
      <c r="E1419" s="30"/>
      <c r="F1419" s="30"/>
      <c r="G1419" s="30"/>
      <c r="H1419" s="30"/>
      <c r="I1419" s="30"/>
      <c r="J1419" s="30"/>
      <c r="K1419" s="30"/>
      <c r="L1419" s="30"/>
      <c r="M1419" s="30"/>
      <c r="N1419" s="30"/>
      <c r="O1419" s="30"/>
      <c r="P1419" s="30"/>
      <c r="Q1419" s="30"/>
      <c r="R1419" s="30"/>
      <c r="S1419" s="20"/>
    </row>
    <row r="1420" spans="1:19" x14ac:dyDescent="0.35">
      <c r="S1420" s="20"/>
    </row>
    <row r="1421" spans="1:19" x14ac:dyDescent="0.35">
      <c r="A1421" s="30"/>
      <c r="B1421" s="30"/>
      <c r="C1421" s="30"/>
      <c r="D1421" s="30"/>
      <c r="E1421" s="30"/>
      <c r="F1421" s="30"/>
      <c r="G1421" s="30"/>
      <c r="H1421" s="30"/>
      <c r="I1421" s="30"/>
      <c r="J1421" s="30"/>
      <c r="K1421" s="30"/>
      <c r="L1421" s="30"/>
      <c r="M1421" s="30"/>
      <c r="N1421" s="30"/>
      <c r="O1421" s="30"/>
      <c r="P1421" s="30"/>
      <c r="Q1421" s="30"/>
      <c r="R1421" s="30"/>
      <c r="S1421" s="20"/>
    </row>
    <row r="1422" spans="1:19" x14ac:dyDescent="0.35">
      <c r="A1422" s="30"/>
      <c r="B1422" s="30"/>
      <c r="C1422" s="30"/>
      <c r="D1422" s="30"/>
      <c r="E1422" s="30"/>
      <c r="F1422" s="30"/>
      <c r="G1422" s="30"/>
      <c r="H1422" s="30"/>
      <c r="I1422" s="30"/>
      <c r="J1422" s="30"/>
      <c r="K1422" s="30"/>
      <c r="L1422" s="30"/>
      <c r="M1422" s="30"/>
      <c r="N1422" s="30"/>
      <c r="O1422" s="30"/>
      <c r="P1422" s="30"/>
      <c r="Q1422" s="30"/>
      <c r="R1422" s="30"/>
      <c r="S1422" s="18"/>
    </row>
    <row r="1423" spans="1:19" x14ac:dyDescent="0.35">
      <c r="A1423" s="30"/>
      <c r="B1423" s="30"/>
      <c r="C1423" s="30"/>
      <c r="D1423" s="30"/>
      <c r="E1423" s="30"/>
      <c r="F1423" s="30"/>
      <c r="G1423" s="30"/>
      <c r="H1423" s="30"/>
      <c r="I1423" s="30"/>
      <c r="J1423" s="30"/>
      <c r="K1423" s="30"/>
      <c r="L1423" s="30"/>
      <c r="M1423" s="30"/>
      <c r="N1423" s="30"/>
      <c r="O1423" s="30"/>
      <c r="P1423" s="30"/>
      <c r="Q1423" s="30"/>
      <c r="R1423" s="30"/>
      <c r="S1423" s="20"/>
    </row>
    <row r="1424" spans="1:19" x14ac:dyDescent="0.35">
      <c r="S1424" s="20"/>
    </row>
    <row r="1425" spans="1:19" x14ac:dyDescent="0.35">
      <c r="A1425" s="30"/>
      <c r="B1425" s="30"/>
      <c r="C1425" s="30"/>
      <c r="D1425" s="30"/>
      <c r="E1425" s="30"/>
      <c r="F1425" s="30"/>
      <c r="G1425" s="30"/>
      <c r="H1425" s="30"/>
      <c r="I1425" s="30"/>
      <c r="J1425" s="30"/>
      <c r="K1425" s="30"/>
      <c r="L1425" s="30"/>
      <c r="M1425" s="30"/>
      <c r="N1425" s="30"/>
      <c r="O1425" s="30"/>
      <c r="P1425" s="30"/>
      <c r="Q1425" s="30"/>
      <c r="R1425" s="30"/>
      <c r="S1425" s="20"/>
    </row>
    <row r="1426" spans="1:19" x14ac:dyDescent="0.35">
      <c r="S1426" s="20"/>
    </row>
    <row r="1427" spans="1:19" x14ac:dyDescent="0.35">
      <c r="S1427" s="20"/>
    </row>
    <row r="1428" spans="1:19" x14ac:dyDescent="0.35">
      <c r="S1428" s="20"/>
    </row>
    <row r="1429" spans="1:19" x14ac:dyDescent="0.35">
      <c r="S1429" s="20"/>
    </row>
    <row r="1430" spans="1:19" x14ac:dyDescent="0.35">
      <c r="A1430" s="30"/>
      <c r="B1430" s="30"/>
      <c r="C1430" s="30"/>
      <c r="D1430" s="30"/>
      <c r="E1430" s="30"/>
      <c r="F1430" s="30"/>
      <c r="G1430" s="30"/>
      <c r="H1430" s="30"/>
      <c r="I1430" s="30"/>
      <c r="J1430" s="30"/>
      <c r="K1430" s="30"/>
      <c r="L1430" s="30"/>
      <c r="M1430" s="30"/>
      <c r="N1430" s="30"/>
      <c r="O1430" s="30"/>
      <c r="P1430" s="30"/>
      <c r="Q1430" s="30"/>
      <c r="R1430" s="30"/>
      <c r="S1430" s="20"/>
    </row>
    <row r="1431" spans="1:19" x14ac:dyDescent="0.35">
      <c r="A1431" s="30"/>
      <c r="B1431" s="30"/>
      <c r="C1431" s="30"/>
      <c r="D1431" s="30"/>
      <c r="E1431" s="30"/>
      <c r="F1431" s="30"/>
      <c r="G1431" s="30"/>
      <c r="H1431" s="30"/>
      <c r="I1431" s="30"/>
      <c r="J1431" s="30"/>
      <c r="K1431" s="30"/>
      <c r="L1431" s="30"/>
      <c r="M1431" s="30"/>
      <c r="N1431" s="30"/>
      <c r="O1431" s="30"/>
      <c r="P1431" s="30"/>
      <c r="Q1431" s="30"/>
      <c r="R1431" s="30"/>
      <c r="S1431" s="20"/>
    </row>
    <row r="1432" spans="1:19" x14ac:dyDescent="0.35">
      <c r="S1432" s="20"/>
    </row>
    <row r="1433" spans="1:19" x14ac:dyDescent="0.35">
      <c r="A1433" s="30"/>
      <c r="B1433" s="30"/>
      <c r="C1433" s="30"/>
      <c r="D1433" s="30"/>
      <c r="E1433" s="30"/>
      <c r="F1433" s="30"/>
      <c r="G1433" s="30"/>
      <c r="H1433" s="30"/>
      <c r="I1433" s="30"/>
      <c r="J1433" s="30"/>
      <c r="K1433" s="30"/>
      <c r="L1433" s="30"/>
      <c r="M1433" s="30"/>
      <c r="N1433" s="30"/>
      <c r="O1433" s="30"/>
      <c r="P1433" s="30"/>
      <c r="Q1433" s="30"/>
      <c r="R1433" s="30"/>
      <c r="S1433" s="20"/>
    </row>
    <row r="1434" spans="1:19" x14ac:dyDescent="0.35">
      <c r="A1434" s="30"/>
      <c r="B1434" s="30"/>
      <c r="C1434" s="30"/>
      <c r="D1434" s="30"/>
      <c r="E1434" s="30"/>
      <c r="F1434" s="30"/>
      <c r="G1434" s="30"/>
      <c r="H1434" s="30"/>
      <c r="I1434" s="30"/>
      <c r="J1434" s="30"/>
      <c r="K1434" s="30"/>
      <c r="L1434" s="30"/>
      <c r="M1434" s="30"/>
      <c r="N1434" s="30"/>
      <c r="O1434" s="30"/>
      <c r="P1434" s="30"/>
      <c r="Q1434" s="30"/>
      <c r="R1434" s="30"/>
      <c r="S1434" s="20"/>
    </row>
    <row r="1435" spans="1:19" x14ac:dyDescent="0.35">
      <c r="A1435" s="30"/>
      <c r="B1435" s="30"/>
      <c r="C1435" s="30"/>
      <c r="D1435" s="30"/>
      <c r="E1435" s="30"/>
      <c r="F1435" s="30"/>
      <c r="G1435" s="30"/>
      <c r="H1435" s="30"/>
      <c r="I1435" s="30"/>
      <c r="J1435" s="30"/>
      <c r="K1435" s="30"/>
      <c r="L1435" s="30"/>
      <c r="M1435" s="30"/>
      <c r="N1435" s="30"/>
      <c r="O1435" s="30"/>
      <c r="P1435" s="30"/>
      <c r="Q1435" s="30"/>
      <c r="R1435" s="30"/>
      <c r="S1435" s="18"/>
    </row>
    <row r="1436" spans="1:19" x14ac:dyDescent="0.35">
      <c r="S1436" s="20"/>
    </row>
    <row r="1437" spans="1:19" x14ac:dyDescent="0.35">
      <c r="A1437" s="30"/>
      <c r="B1437" s="30"/>
      <c r="C1437" s="30"/>
      <c r="D1437" s="30"/>
      <c r="E1437" s="30"/>
      <c r="F1437" s="30"/>
      <c r="G1437" s="30"/>
      <c r="H1437" s="30"/>
      <c r="I1437" s="30"/>
      <c r="J1437" s="30"/>
      <c r="K1437" s="30"/>
      <c r="O1437" s="30"/>
      <c r="P1437" s="30"/>
      <c r="Q1437" s="30"/>
      <c r="R1437" s="30"/>
      <c r="S1437" s="20"/>
    </row>
    <row r="1438" spans="1:19" x14ac:dyDescent="0.35">
      <c r="S1438" s="20"/>
    </row>
    <row r="1439" spans="1:19" x14ac:dyDescent="0.35">
      <c r="A1439" s="30"/>
      <c r="B1439" s="30"/>
      <c r="C1439" s="30"/>
      <c r="D1439" s="30"/>
      <c r="E1439" s="30"/>
      <c r="F1439" s="30"/>
      <c r="G1439" s="30"/>
      <c r="H1439" s="30"/>
      <c r="I1439" s="30"/>
      <c r="J1439" s="30"/>
      <c r="K1439" s="30"/>
      <c r="L1439" s="30"/>
      <c r="M1439" s="30"/>
      <c r="N1439" s="30"/>
      <c r="O1439" s="30"/>
      <c r="P1439" s="30"/>
      <c r="Q1439" s="30"/>
      <c r="R1439" s="30"/>
      <c r="S1439" s="20"/>
    </row>
    <row r="1440" spans="1:19" x14ac:dyDescent="0.35">
      <c r="S1440" s="20"/>
    </row>
    <row r="1441" spans="1:19" x14ac:dyDescent="0.35">
      <c r="A1441" s="30"/>
      <c r="B1441" s="30"/>
      <c r="C1441" s="30"/>
      <c r="D1441" s="30"/>
      <c r="E1441" s="30"/>
      <c r="F1441" s="30"/>
      <c r="G1441" s="30"/>
      <c r="H1441" s="30"/>
      <c r="I1441" s="30"/>
      <c r="J1441" s="30"/>
      <c r="K1441" s="30"/>
      <c r="L1441" s="30"/>
      <c r="M1441" s="30"/>
      <c r="N1441" s="30"/>
      <c r="O1441" s="30"/>
      <c r="P1441" s="30"/>
      <c r="Q1441" s="30"/>
      <c r="R1441" s="30"/>
      <c r="S1441" s="20"/>
    </row>
    <row r="1442" spans="1:19" x14ac:dyDescent="0.35">
      <c r="S1442" s="20"/>
    </row>
    <row r="1443" spans="1:19" x14ac:dyDescent="0.35">
      <c r="S1443" s="20"/>
    </row>
    <row r="1444" spans="1:19" x14ac:dyDescent="0.35">
      <c r="S1444" s="20"/>
    </row>
    <row r="1445" spans="1:19" x14ac:dyDescent="0.35">
      <c r="S1445" s="20"/>
    </row>
    <row r="1446" spans="1:19" x14ac:dyDescent="0.35">
      <c r="S1446" s="20"/>
    </row>
    <row r="1447" spans="1:19" x14ac:dyDescent="0.35">
      <c r="S1447" s="20"/>
    </row>
    <row r="1448" spans="1:19" x14ac:dyDescent="0.35">
      <c r="A1448" s="30"/>
      <c r="B1448" s="30"/>
      <c r="C1448" s="30"/>
      <c r="D1448" s="30"/>
      <c r="E1448" s="30"/>
      <c r="F1448" s="30"/>
      <c r="G1448" s="30"/>
      <c r="H1448" s="30"/>
      <c r="I1448" s="30"/>
      <c r="J1448" s="30"/>
      <c r="K1448" s="30"/>
      <c r="L1448" s="30"/>
      <c r="M1448" s="30"/>
      <c r="N1448" s="30"/>
      <c r="O1448" s="30"/>
      <c r="P1448" s="30"/>
      <c r="Q1448" s="30"/>
      <c r="R1448" s="30"/>
      <c r="S1448" s="20"/>
    </row>
    <row r="1449" spans="1:19" x14ac:dyDescent="0.35">
      <c r="A1449" s="30"/>
      <c r="B1449" s="30"/>
      <c r="C1449" s="30"/>
      <c r="D1449" s="30"/>
      <c r="E1449" s="30"/>
      <c r="F1449" s="30"/>
      <c r="G1449" s="30"/>
      <c r="H1449" s="30"/>
      <c r="I1449" s="30"/>
      <c r="J1449" s="30"/>
      <c r="K1449" s="30"/>
      <c r="L1449" s="30"/>
      <c r="M1449" s="30"/>
      <c r="N1449" s="30"/>
      <c r="O1449" s="30"/>
      <c r="P1449" s="30"/>
      <c r="Q1449" s="30"/>
      <c r="R1449" s="30"/>
      <c r="S1449" s="20"/>
    </row>
    <row r="1454" spans="1:19" x14ac:dyDescent="0.35">
      <c r="A1454" s="30"/>
      <c r="B1454" s="30"/>
      <c r="C1454" s="30"/>
      <c r="D1454" s="30"/>
      <c r="E1454" s="30"/>
      <c r="F1454" s="30"/>
      <c r="G1454" s="30"/>
      <c r="H1454" s="30"/>
      <c r="I1454" s="30"/>
      <c r="J1454" s="30"/>
      <c r="K1454" s="30"/>
      <c r="L1454" s="30"/>
      <c r="M1454" s="30"/>
      <c r="N1454" s="30"/>
      <c r="O1454" s="30"/>
      <c r="P1454" s="30"/>
      <c r="Q1454" s="30"/>
      <c r="R1454" s="30"/>
    </row>
    <row r="1457" spans="1:19" x14ac:dyDescent="0.35">
      <c r="A1457" s="30"/>
      <c r="B1457" s="30"/>
      <c r="C1457" s="30"/>
      <c r="D1457" s="30"/>
      <c r="E1457" s="30"/>
      <c r="F1457" s="30"/>
      <c r="G1457" s="30"/>
      <c r="H1457" s="30"/>
      <c r="I1457" s="30"/>
      <c r="J1457" s="30"/>
      <c r="K1457" s="30"/>
      <c r="L1457" s="30"/>
      <c r="M1457" s="30"/>
      <c r="N1457" s="30"/>
      <c r="O1457" s="30"/>
      <c r="P1457" s="30"/>
      <c r="Q1457" s="30"/>
      <c r="R1457" s="30"/>
    </row>
    <row r="1458" spans="1:19" x14ac:dyDescent="0.35">
      <c r="S1458" s="30"/>
    </row>
    <row r="1460" spans="1:19" x14ac:dyDescent="0.35">
      <c r="A1460" s="30"/>
      <c r="B1460" s="30"/>
      <c r="C1460" s="30"/>
      <c r="D1460" s="30"/>
      <c r="E1460" s="30"/>
      <c r="F1460" s="30"/>
      <c r="G1460" s="30"/>
      <c r="H1460" s="30"/>
      <c r="I1460" s="30"/>
      <c r="J1460" s="30"/>
      <c r="K1460" s="30"/>
      <c r="L1460" s="30"/>
      <c r="M1460" s="30"/>
      <c r="N1460" s="30"/>
      <c r="O1460" s="30"/>
      <c r="P1460" s="30"/>
      <c r="Q1460" s="30"/>
      <c r="R1460" s="30"/>
    </row>
    <row r="1469" spans="1:19" x14ac:dyDescent="0.35">
      <c r="A1469" s="30"/>
      <c r="B1469" s="30"/>
      <c r="C1469" s="30"/>
      <c r="D1469" s="30"/>
      <c r="E1469" s="30"/>
      <c r="F1469" s="30"/>
      <c r="G1469" s="30"/>
      <c r="H1469" s="30"/>
      <c r="I1469" s="30"/>
      <c r="J1469" s="30"/>
      <c r="K1469" s="30"/>
      <c r="L1469" s="30"/>
      <c r="M1469" s="30"/>
      <c r="N1469" s="30"/>
      <c r="O1469" s="30"/>
      <c r="P1469" s="30"/>
      <c r="Q1469" s="30"/>
      <c r="R1469" s="30"/>
    </row>
    <row r="1470" spans="1:19" x14ac:dyDescent="0.35">
      <c r="A1470" s="30"/>
      <c r="B1470" s="30"/>
      <c r="C1470" s="30"/>
      <c r="D1470" s="30"/>
      <c r="E1470" s="30"/>
      <c r="F1470" s="30"/>
      <c r="G1470" s="30"/>
      <c r="H1470" s="30"/>
      <c r="I1470" s="30"/>
      <c r="J1470" s="30"/>
      <c r="K1470" s="30"/>
      <c r="L1470" s="30"/>
      <c r="M1470" s="30"/>
      <c r="N1470" s="30"/>
      <c r="O1470" s="30"/>
      <c r="P1470" s="30"/>
      <c r="Q1470" s="30"/>
      <c r="R1470" s="30"/>
    </row>
    <row r="1478" spans="1:18" x14ac:dyDescent="0.35">
      <c r="A1478" s="30"/>
      <c r="B1478" s="30"/>
      <c r="C1478" s="30"/>
      <c r="D1478" s="30"/>
      <c r="E1478" s="30"/>
      <c r="F1478" s="30"/>
      <c r="G1478" s="30"/>
      <c r="H1478" s="30"/>
      <c r="I1478" s="30"/>
      <c r="J1478" s="30"/>
      <c r="K1478" s="30"/>
      <c r="O1478" s="30"/>
      <c r="P1478" s="30"/>
      <c r="Q1478" s="30"/>
      <c r="R1478" s="30"/>
    </row>
    <row r="1482" spans="1:18" x14ac:dyDescent="0.35">
      <c r="A1482" s="30"/>
      <c r="B1482" s="30"/>
      <c r="C1482" s="30"/>
      <c r="D1482" s="30"/>
      <c r="E1482" s="30"/>
      <c r="F1482" s="30"/>
      <c r="G1482" s="30"/>
      <c r="H1482" s="30"/>
      <c r="I1482" s="30"/>
      <c r="J1482" s="30"/>
      <c r="K1482" s="30"/>
      <c r="L1482" s="30"/>
      <c r="M1482" s="30"/>
      <c r="N1482" s="30"/>
      <c r="O1482" s="30"/>
      <c r="P1482" s="30"/>
      <c r="Q1482" s="30"/>
      <c r="R1482" s="30"/>
    </row>
    <row r="1487" spans="1:18" x14ac:dyDescent="0.35">
      <c r="A1487" s="30"/>
      <c r="B1487" s="30"/>
      <c r="C1487" s="30"/>
      <c r="D1487" s="30"/>
      <c r="E1487" s="30"/>
      <c r="F1487" s="30"/>
      <c r="G1487" s="30"/>
      <c r="H1487" s="30"/>
      <c r="I1487" s="30"/>
      <c r="J1487" s="30"/>
      <c r="K1487" s="30"/>
      <c r="L1487" s="30"/>
      <c r="M1487" s="30"/>
      <c r="N1487" s="30"/>
      <c r="O1487" s="30"/>
      <c r="P1487" s="30"/>
      <c r="Q1487" s="30"/>
      <c r="R1487" s="30"/>
    </row>
    <row r="1489" spans="1:19" x14ac:dyDescent="0.35">
      <c r="A1489" s="30"/>
      <c r="B1489" s="30"/>
      <c r="C1489" s="30"/>
      <c r="D1489" s="30"/>
      <c r="E1489" s="30"/>
      <c r="F1489" s="30"/>
      <c r="G1489" s="30"/>
      <c r="H1489" s="30"/>
      <c r="I1489" s="30"/>
      <c r="J1489" s="30"/>
      <c r="K1489" s="30"/>
      <c r="L1489" s="30"/>
      <c r="M1489" s="30"/>
      <c r="N1489" s="30"/>
      <c r="O1489" s="30"/>
      <c r="P1489" s="30"/>
      <c r="Q1489" s="30"/>
      <c r="R1489" s="30"/>
    </row>
    <row r="1490" spans="1:19" x14ac:dyDescent="0.35">
      <c r="A1490" s="30"/>
      <c r="B1490" s="30"/>
      <c r="C1490" s="30"/>
      <c r="D1490" s="30"/>
      <c r="E1490" s="30"/>
      <c r="F1490" s="30"/>
      <c r="G1490" s="30"/>
      <c r="H1490" s="30"/>
      <c r="I1490" s="30"/>
      <c r="J1490" s="30"/>
      <c r="K1490" s="30"/>
      <c r="L1490" s="30"/>
      <c r="M1490" s="30"/>
      <c r="N1490" s="30"/>
      <c r="O1490" s="30"/>
      <c r="P1490" s="30"/>
      <c r="Q1490" s="30"/>
      <c r="R1490" s="30"/>
    </row>
    <row r="1493" spans="1:19" x14ac:dyDescent="0.35">
      <c r="A1493" s="30"/>
      <c r="B1493" s="30"/>
      <c r="C1493" s="30"/>
      <c r="D1493" s="30"/>
      <c r="E1493" s="30"/>
      <c r="F1493" s="30"/>
      <c r="G1493" s="30"/>
      <c r="H1493" s="30"/>
      <c r="I1493" s="30"/>
      <c r="J1493" s="30"/>
      <c r="K1493" s="30"/>
      <c r="L1493" s="30"/>
      <c r="M1493" s="30"/>
      <c r="N1493" s="30"/>
      <c r="O1493" s="30"/>
      <c r="P1493" s="30"/>
      <c r="Q1493" s="30"/>
      <c r="R1493" s="30"/>
    </row>
    <row r="1494" spans="1:19" x14ac:dyDescent="0.35">
      <c r="A1494" s="30"/>
      <c r="B1494" s="30"/>
      <c r="C1494" s="30"/>
      <c r="D1494" s="30"/>
      <c r="E1494" s="30"/>
      <c r="F1494" s="30"/>
      <c r="G1494" s="30"/>
      <c r="H1494" s="30"/>
      <c r="I1494" s="30"/>
      <c r="J1494" s="30"/>
      <c r="K1494" s="30"/>
      <c r="L1494" s="30"/>
      <c r="M1494" s="30"/>
      <c r="N1494" s="30"/>
      <c r="O1494" s="30"/>
      <c r="P1494" s="30"/>
      <c r="Q1494" s="30"/>
      <c r="R1494" s="30"/>
    </row>
    <row r="1495" spans="1:19" x14ac:dyDescent="0.35">
      <c r="A1495" s="30"/>
      <c r="B1495" s="30"/>
      <c r="C1495" s="30"/>
      <c r="D1495" s="30"/>
      <c r="E1495" s="30"/>
      <c r="F1495" s="30"/>
      <c r="G1495" s="30"/>
      <c r="H1495" s="30"/>
      <c r="I1495" s="30"/>
      <c r="J1495" s="30"/>
      <c r="K1495" s="30"/>
      <c r="L1495" s="30"/>
      <c r="M1495" s="30"/>
      <c r="N1495" s="30"/>
      <c r="O1495" s="30"/>
      <c r="P1495" s="30"/>
      <c r="Q1495" s="30"/>
      <c r="R1495" s="30"/>
    </row>
    <row r="1499" spans="1:19" x14ac:dyDescent="0.35">
      <c r="A1499" s="30"/>
      <c r="B1499" s="30"/>
      <c r="C1499" s="30"/>
      <c r="D1499" s="30"/>
      <c r="E1499" s="30"/>
      <c r="F1499" s="30"/>
      <c r="G1499" s="30"/>
      <c r="H1499" s="30"/>
      <c r="I1499" s="30"/>
      <c r="J1499" s="30"/>
      <c r="K1499" s="30"/>
      <c r="L1499" s="30"/>
      <c r="M1499" s="30"/>
      <c r="N1499" s="30"/>
      <c r="O1499" s="30"/>
      <c r="P1499" s="30"/>
      <c r="Q1499" s="30"/>
      <c r="R1499" s="30"/>
      <c r="S1499" s="30"/>
    </row>
    <row r="1503" spans="1:19" x14ac:dyDescent="0.35">
      <c r="A1503" s="30"/>
      <c r="B1503" s="30"/>
      <c r="C1503" s="30"/>
      <c r="D1503" s="30"/>
      <c r="E1503" s="30"/>
      <c r="F1503" s="30"/>
      <c r="G1503" s="30"/>
      <c r="H1503" s="30"/>
      <c r="I1503" s="30"/>
      <c r="J1503" s="30"/>
      <c r="K1503" s="30"/>
      <c r="L1503" s="30"/>
      <c r="M1503" s="30"/>
      <c r="N1503" s="30"/>
      <c r="O1503" s="30"/>
      <c r="P1503" s="30"/>
      <c r="Q1503" s="30"/>
      <c r="R1503" s="30"/>
      <c r="S1503" s="30"/>
    </row>
    <row r="1505" spans="1:19" x14ac:dyDescent="0.35">
      <c r="A1505" s="30"/>
      <c r="B1505" s="30"/>
      <c r="C1505" s="30"/>
      <c r="D1505" s="30"/>
      <c r="E1505" s="30"/>
      <c r="F1505" s="30"/>
      <c r="G1505" s="30"/>
      <c r="H1505" s="30"/>
      <c r="I1505" s="30"/>
      <c r="J1505" s="30"/>
      <c r="K1505" s="30"/>
      <c r="L1505" s="30"/>
      <c r="M1505" s="30"/>
      <c r="N1505" s="30"/>
      <c r="O1505" s="30"/>
      <c r="P1505" s="30"/>
      <c r="Q1505" s="30"/>
      <c r="R1505" s="30"/>
    </row>
    <row r="1506" spans="1:19" x14ac:dyDescent="0.35">
      <c r="A1506" s="30"/>
      <c r="B1506" s="30"/>
      <c r="C1506" s="30"/>
      <c r="D1506" s="30"/>
      <c r="E1506" s="30"/>
      <c r="F1506" s="30"/>
      <c r="G1506" s="30"/>
      <c r="H1506" s="30"/>
      <c r="I1506" s="30"/>
      <c r="J1506" s="30"/>
      <c r="K1506" s="30"/>
      <c r="L1506" s="30"/>
      <c r="M1506" s="30"/>
      <c r="N1506" s="30"/>
      <c r="O1506" s="30"/>
      <c r="P1506" s="30"/>
      <c r="Q1506" s="30"/>
      <c r="R1506" s="30"/>
      <c r="S1506" s="30"/>
    </row>
    <row r="1508" spans="1:19" x14ac:dyDescent="0.35">
      <c r="A1508" s="30"/>
      <c r="B1508" s="30"/>
      <c r="C1508" s="30"/>
      <c r="D1508" s="30"/>
      <c r="E1508" s="30"/>
      <c r="F1508" s="30"/>
      <c r="G1508" s="30"/>
      <c r="H1508" s="30"/>
      <c r="I1508" s="30"/>
      <c r="J1508" s="30"/>
      <c r="K1508" s="30"/>
      <c r="L1508" s="30"/>
      <c r="M1508" s="30"/>
      <c r="N1508" s="30"/>
      <c r="O1508" s="30"/>
      <c r="P1508" s="30"/>
      <c r="Q1508" s="30"/>
      <c r="R1508" s="30"/>
      <c r="S1508" s="30"/>
    </row>
    <row r="1509" spans="1:19" x14ac:dyDescent="0.35">
      <c r="A1509" s="30"/>
      <c r="B1509" s="30"/>
      <c r="C1509" s="30"/>
      <c r="D1509" s="30"/>
      <c r="E1509" s="30"/>
      <c r="F1509" s="30"/>
      <c r="G1509" s="30"/>
      <c r="H1509" s="30"/>
      <c r="I1509" s="30"/>
      <c r="J1509" s="30"/>
      <c r="K1509" s="30"/>
      <c r="L1509" s="30"/>
      <c r="M1509" s="30"/>
      <c r="N1509" s="30"/>
      <c r="O1509" s="30"/>
      <c r="P1509" s="30"/>
      <c r="Q1509" s="30"/>
      <c r="R1509" s="30"/>
      <c r="S1509" s="30"/>
    </row>
    <row r="1513" spans="1:19" x14ac:dyDescent="0.35">
      <c r="A1513" s="30"/>
      <c r="B1513" s="30"/>
      <c r="C1513" s="30"/>
      <c r="D1513" s="30"/>
      <c r="E1513" s="30"/>
      <c r="F1513" s="30"/>
      <c r="G1513" s="30"/>
      <c r="H1513" s="30"/>
      <c r="I1513" s="30"/>
      <c r="J1513" s="30"/>
      <c r="K1513" s="30"/>
      <c r="L1513" s="30"/>
      <c r="M1513" s="30"/>
      <c r="N1513" s="30"/>
      <c r="O1513" s="30"/>
      <c r="P1513" s="30"/>
      <c r="Q1513" s="30"/>
      <c r="R1513" s="30"/>
      <c r="S1513" s="30"/>
    </row>
    <row r="1514" spans="1:19" x14ac:dyDescent="0.35">
      <c r="A1514" s="30"/>
      <c r="B1514" s="30"/>
      <c r="C1514" s="30"/>
      <c r="D1514" s="30"/>
      <c r="E1514" s="30"/>
      <c r="F1514" s="30"/>
      <c r="G1514" s="30"/>
      <c r="H1514" s="30"/>
      <c r="I1514" s="30"/>
      <c r="J1514" s="30"/>
      <c r="K1514" s="30"/>
      <c r="L1514" s="30"/>
      <c r="M1514" s="30"/>
      <c r="N1514" s="30"/>
      <c r="O1514" s="30"/>
      <c r="P1514" s="30"/>
      <c r="Q1514" s="30"/>
      <c r="R1514" s="30"/>
      <c r="S1514" s="30"/>
    </row>
    <row r="1518" spans="1:19" x14ac:dyDescent="0.35">
      <c r="A1518" s="30"/>
      <c r="B1518" s="30"/>
      <c r="C1518" s="30"/>
      <c r="D1518" s="30"/>
      <c r="E1518" s="30"/>
      <c r="F1518" s="30"/>
      <c r="G1518" s="30"/>
      <c r="H1518" s="30"/>
      <c r="I1518" s="30"/>
      <c r="J1518" s="30"/>
      <c r="K1518" s="30"/>
      <c r="L1518" s="30"/>
      <c r="M1518" s="30"/>
      <c r="N1518" s="30"/>
      <c r="O1518" s="30"/>
      <c r="P1518" s="30"/>
      <c r="Q1518" s="30"/>
      <c r="R1518" s="30"/>
    </row>
    <row r="1520" spans="1:19" x14ac:dyDescent="0.35">
      <c r="A1520" s="30"/>
      <c r="B1520" s="30"/>
      <c r="C1520" s="30"/>
      <c r="D1520" s="30"/>
      <c r="E1520" s="30"/>
      <c r="F1520" s="30"/>
      <c r="G1520" s="30"/>
      <c r="H1520" s="30"/>
      <c r="I1520" s="30"/>
      <c r="J1520" s="30"/>
      <c r="K1520" s="30"/>
      <c r="L1520" s="30"/>
      <c r="M1520" s="30"/>
      <c r="N1520" s="30"/>
      <c r="O1520" s="30"/>
      <c r="P1520" s="30"/>
      <c r="Q1520" s="30"/>
      <c r="R1520" s="30"/>
      <c r="S1520" s="30"/>
    </row>
    <row r="1524" spans="1:19" x14ac:dyDescent="0.35">
      <c r="A1524" s="30"/>
      <c r="B1524" s="30"/>
      <c r="C1524" s="30"/>
      <c r="D1524" s="30"/>
      <c r="E1524" s="30"/>
      <c r="F1524" s="30"/>
      <c r="G1524" s="30"/>
      <c r="H1524" s="30"/>
      <c r="I1524" s="30"/>
      <c r="J1524" s="30"/>
      <c r="K1524" s="30"/>
      <c r="L1524" s="30"/>
      <c r="M1524" s="30"/>
      <c r="N1524" s="30"/>
      <c r="O1524" s="30"/>
      <c r="P1524" s="30"/>
      <c r="Q1524" s="30"/>
      <c r="R1524" s="30"/>
      <c r="S1524" s="30"/>
    </row>
    <row r="1526" spans="1:19" x14ac:dyDescent="0.35">
      <c r="A1526" s="30"/>
      <c r="B1526" s="30"/>
      <c r="C1526" s="30"/>
      <c r="D1526" s="30"/>
      <c r="E1526" s="30"/>
      <c r="F1526" s="30"/>
      <c r="G1526" s="30"/>
      <c r="H1526" s="30"/>
      <c r="I1526" s="30"/>
      <c r="J1526" s="30"/>
      <c r="K1526" s="30"/>
      <c r="L1526" s="30"/>
      <c r="M1526" s="30"/>
      <c r="N1526" s="30"/>
      <c r="O1526" s="30"/>
      <c r="P1526" s="30"/>
      <c r="Q1526" s="30"/>
      <c r="R1526" s="30"/>
    </row>
    <row r="1528" spans="1:19" x14ac:dyDescent="0.35">
      <c r="A1528" s="30"/>
      <c r="B1528" s="30"/>
      <c r="C1528" s="30"/>
      <c r="D1528" s="30"/>
      <c r="E1528" s="30"/>
      <c r="F1528" s="30"/>
      <c r="G1528" s="30"/>
      <c r="H1528" s="30"/>
      <c r="I1528" s="30"/>
      <c r="J1528" s="30"/>
      <c r="K1528" s="30"/>
      <c r="L1528" s="30"/>
      <c r="M1528" s="30"/>
      <c r="N1528" s="30"/>
      <c r="O1528" s="30"/>
      <c r="P1528" s="30"/>
      <c r="Q1528" s="30"/>
      <c r="R1528" s="30"/>
      <c r="S1528" s="30"/>
    </row>
    <row r="1531" spans="1:19" x14ac:dyDescent="0.35">
      <c r="A1531" s="30"/>
      <c r="B1531" s="30"/>
      <c r="C1531" s="30"/>
      <c r="D1531" s="30"/>
      <c r="E1531" s="30"/>
      <c r="F1531" s="30"/>
      <c r="G1531" s="30"/>
      <c r="H1531" s="30"/>
      <c r="I1531" s="30"/>
      <c r="J1531" s="30"/>
      <c r="K1531" s="30"/>
      <c r="L1531" s="30"/>
      <c r="M1531" s="30"/>
      <c r="N1531" s="30"/>
      <c r="O1531" s="30"/>
      <c r="P1531" s="30"/>
      <c r="Q1531" s="30"/>
      <c r="R1531" s="30"/>
    </row>
    <row r="1533" spans="1:19" x14ac:dyDescent="0.35">
      <c r="A1533" s="30"/>
      <c r="B1533" s="30"/>
      <c r="C1533" s="30"/>
      <c r="D1533" s="30"/>
      <c r="E1533" s="30"/>
      <c r="F1533" s="30"/>
      <c r="G1533" s="30"/>
      <c r="H1533" s="30"/>
      <c r="I1533" s="30"/>
      <c r="J1533" s="30"/>
      <c r="K1533" s="30"/>
      <c r="L1533" s="30"/>
      <c r="M1533" s="30"/>
      <c r="N1533" s="30"/>
      <c r="O1533" s="30"/>
      <c r="P1533" s="30"/>
      <c r="Q1533" s="30"/>
      <c r="R1533" s="30"/>
    </row>
    <row r="1538" spans="1:19" x14ac:dyDescent="0.35">
      <c r="A1538" s="30"/>
      <c r="B1538" s="30"/>
      <c r="C1538" s="30"/>
      <c r="D1538" s="30"/>
      <c r="E1538" s="30"/>
      <c r="F1538" s="30"/>
      <c r="G1538" s="30"/>
      <c r="H1538" s="30"/>
      <c r="I1538" s="30"/>
      <c r="J1538" s="30"/>
      <c r="K1538" s="30"/>
      <c r="L1538" s="30"/>
      <c r="M1538" s="30"/>
      <c r="N1538" s="30"/>
      <c r="O1538" s="30"/>
      <c r="P1538" s="30"/>
      <c r="Q1538" s="30"/>
      <c r="R1538" s="30"/>
      <c r="S1538" s="30"/>
    </row>
    <row r="1539" spans="1:19" x14ac:dyDescent="0.35">
      <c r="A1539" s="30"/>
      <c r="B1539" s="30"/>
      <c r="C1539" s="30"/>
      <c r="D1539" s="30"/>
      <c r="E1539" s="30"/>
      <c r="F1539" s="30"/>
      <c r="G1539" s="30"/>
      <c r="H1539" s="30"/>
      <c r="I1539" s="30"/>
      <c r="J1539" s="30"/>
      <c r="K1539" s="30"/>
      <c r="L1539" s="30"/>
      <c r="M1539" s="30"/>
      <c r="N1539" s="30"/>
      <c r="O1539" s="30"/>
      <c r="P1539" s="30"/>
      <c r="Q1539" s="30"/>
      <c r="R1539" s="30"/>
    </row>
    <row r="1540" spans="1:19" x14ac:dyDescent="0.35">
      <c r="A1540" s="30"/>
      <c r="B1540" s="30"/>
      <c r="C1540" s="30"/>
      <c r="D1540" s="30"/>
      <c r="E1540" s="30"/>
      <c r="F1540" s="30"/>
      <c r="G1540" s="30"/>
      <c r="H1540" s="30"/>
      <c r="I1540" s="30"/>
      <c r="J1540" s="30"/>
      <c r="K1540" s="30"/>
      <c r="L1540" s="30"/>
      <c r="M1540" s="30"/>
      <c r="N1540" s="30"/>
      <c r="O1540" s="30"/>
      <c r="P1540" s="30"/>
      <c r="Q1540" s="30"/>
      <c r="R1540" s="30"/>
    </row>
    <row r="1541" spans="1:19" x14ac:dyDescent="0.35">
      <c r="A1541" s="30"/>
      <c r="B1541" s="30"/>
      <c r="C1541" s="30"/>
      <c r="D1541" s="30"/>
      <c r="E1541" s="30"/>
      <c r="F1541" s="30"/>
      <c r="G1541" s="30"/>
      <c r="H1541" s="30"/>
      <c r="I1541" s="30"/>
      <c r="J1541" s="30"/>
      <c r="K1541" s="30"/>
      <c r="L1541" s="30"/>
      <c r="M1541" s="30"/>
      <c r="N1541" s="30"/>
      <c r="O1541" s="30"/>
      <c r="P1541" s="30"/>
      <c r="Q1541" s="30"/>
      <c r="R1541" s="30"/>
      <c r="S1541" s="30"/>
    </row>
    <row r="1546" spans="1:19" x14ac:dyDescent="0.35">
      <c r="A1546" s="30"/>
      <c r="B1546" s="30"/>
      <c r="C1546" s="30"/>
      <c r="D1546" s="30"/>
      <c r="E1546" s="30"/>
      <c r="F1546" s="30"/>
      <c r="G1546" s="30"/>
      <c r="H1546" s="30"/>
      <c r="I1546" s="30"/>
      <c r="J1546" s="30"/>
      <c r="K1546" s="30"/>
      <c r="L1546" s="30"/>
      <c r="M1546" s="30"/>
      <c r="N1546" s="30"/>
      <c r="O1546" s="30"/>
      <c r="P1546" s="30"/>
      <c r="Q1546" s="30"/>
      <c r="R1546" s="30"/>
    </row>
    <row r="1547" spans="1:19" x14ac:dyDescent="0.35">
      <c r="A1547" s="30"/>
      <c r="B1547" s="30"/>
      <c r="C1547" s="30"/>
      <c r="D1547" s="30"/>
      <c r="E1547" s="30"/>
      <c r="F1547" s="30"/>
      <c r="G1547" s="30"/>
      <c r="H1547" s="30"/>
      <c r="I1547" s="30"/>
      <c r="J1547" s="30"/>
      <c r="K1547" s="30"/>
      <c r="L1547" s="30"/>
      <c r="M1547" s="30"/>
      <c r="N1547" s="30"/>
      <c r="O1547" s="30"/>
      <c r="P1547" s="30"/>
      <c r="Q1547" s="30"/>
      <c r="R1547" s="30"/>
    </row>
    <row r="1549" spans="1:19" x14ac:dyDescent="0.35">
      <c r="A1549" s="30"/>
      <c r="B1549" s="30"/>
      <c r="C1549" s="30"/>
      <c r="D1549" s="30"/>
      <c r="E1549" s="30"/>
      <c r="F1549" s="30"/>
      <c r="G1549" s="30"/>
      <c r="H1549" s="30"/>
      <c r="I1549" s="30"/>
      <c r="J1549" s="30"/>
      <c r="K1549" s="30"/>
      <c r="L1549" s="30"/>
      <c r="M1549" s="30"/>
      <c r="N1549" s="30"/>
      <c r="O1549" s="30"/>
      <c r="P1549" s="30"/>
      <c r="Q1549" s="30"/>
      <c r="R1549" s="30"/>
    </row>
    <row r="1550" spans="1:19" x14ac:dyDescent="0.35">
      <c r="A1550" s="30"/>
      <c r="B1550" s="30"/>
      <c r="C1550" s="30"/>
      <c r="D1550" s="30"/>
      <c r="E1550" s="30"/>
      <c r="F1550" s="30"/>
      <c r="G1550" s="30"/>
      <c r="H1550" s="30"/>
      <c r="I1550" s="30"/>
      <c r="J1550" s="30"/>
      <c r="K1550" s="30"/>
      <c r="L1550" s="30"/>
      <c r="M1550" s="30"/>
      <c r="N1550" s="30"/>
      <c r="O1550" s="30"/>
      <c r="P1550" s="30"/>
      <c r="Q1550" s="30"/>
      <c r="R1550" s="30"/>
    </row>
    <row r="1551" spans="1:19" x14ac:dyDescent="0.35">
      <c r="A1551" s="30"/>
      <c r="B1551" s="30"/>
      <c r="C1551" s="30"/>
      <c r="D1551" s="30"/>
      <c r="E1551" s="30"/>
      <c r="F1551" s="30"/>
      <c r="G1551" s="30"/>
      <c r="H1551" s="30"/>
      <c r="I1551" s="30"/>
      <c r="J1551" s="30"/>
      <c r="K1551" s="30"/>
      <c r="O1551" s="30"/>
      <c r="P1551" s="30"/>
      <c r="Q1551" s="30"/>
      <c r="R1551" s="30"/>
    </row>
    <row r="1554" spans="1:18" x14ac:dyDescent="0.35">
      <c r="A1554" s="30"/>
      <c r="B1554" s="30"/>
      <c r="C1554" s="30"/>
      <c r="D1554" s="30"/>
      <c r="E1554" s="30"/>
      <c r="F1554" s="30"/>
      <c r="G1554" s="30"/>
      <c r="H1554" s="30"/>
      <c r="I1554" s="30"/>
      <c r="J1554" s="30"/>
      <c r="K1554" s="30"/>
      <c r="L1554" s="30"/>
      <c r="M1554" s="30"/>
      <c r="N1554" s="30"/>
      <c r="O1554" s="30"/>
      <c r="P1554" s="30"/>
      <c r="Q1554" s="30"/>
      <c r="R1554" s="30"/>
    </row>
    <row r="1555" spans="1:18" x14ac:dyDescent="0.35">
      <c r="A1555" s="30"/>
      <c r="B1555" s="30"/>
      <c r="C1555" s="30"/>
      <c r="D1555" s="30"/>
      <c r="E1555" s="30"/>
      <c r="F1555" s="30"/>
      <c r="G1555" s="30"/>
      <c r="H1555" s="30"/>
      <c r="I1555" s="30"/>
      <c r="J1555" s="30"/>
      <c r="K1555" s="30"/>
      <c r="L1555" s="30"/>
      <c r="M1555" s="30"/>
      <c r="N1555" s="30"/>
      <c r="O1555" s="30"/>
      <c r="P1555" s="30"/>
      <c r="R1555" s="30"/>
    </row>
    <row r="1560" spans="1:18" x14ac:dyDescent="0.35">
      <c r="A1560" s="30"/>
      <c r="B1560" s="30"/>
      <c r="C1560" s="30"/>
      <c r="D1560" s="30"/>
      <c r="E1560" s="30"/>
      <c r="F1560" s="30"/>
      <c r="G1560" s="30"/>
      <c r="H1560" s="30"/>
      <c r="I1560" s="30"/>
      <c r="J1560" s="30"/>
      <c r="K1560" s="30"/>
      <c r="L1560" s="30"/>
      <c r="M1560" s="30"/>
      <c r="N1560" s="30"/>
      <c r="O1560" s="30"/>
      <c r="P1560" s="30"/>
      <c r="Q1560" s="30"/>
      <c r="R1560" s="30"/>
    </row>
    <row r="1561" spans="1:18" x14ac:dyDescent="0.35">
      <c r="A1561" s="30"/>
      <c r="B1561" s="30"/>
      <c r="C1561" s="30"/>
      <c r="D1561" s="30"/>
      <c r="E1561" s="30"/>
      <c r="F1561" s="30"/>
      <c r="G1561" s="30"/>
      <c r="H1561" s="30"/>
      <c r="I1561" s="30"/>
      <c r="J1561" s="30"/>
      <c r="K1561" s="30"/>
      <c r="L1561" s="30"/>
      <c r="M1561" s="30"/>
      <c r="N1561" s="30"/>
      <c r="O1561" s="30"/>
      <c r="P1561" s="30"/>
      <c r="Q1561" s="30"/>
      <c r="R1561" s="30"/>
    </row>
    <row r="1569" spans="1:19" x14ac:dyDescent="0.35">
      <c r="A1569" s="30"/>
      <c r="B1569" s="30"/>
      <c r="C1569" s="30"/>
      <c r="D1569" s="30"/>
      <c r="E1569" s="30"/>
      <c r="F1569" s="30"/>
      <c r="G1569" s="30"/>
      <c r="H1569" s="30"/>
      <c r="I1569" s="30"/>
      <c r="J1569" s="30"/>
      <c r="K1569" s="30"/>
      <c r="L1569" s="30"/>
      <c r="M1569" s="30"/>
      <c r="N1569" s="30"/>
      <c r="O1569" s="30"/>
      <c r="P1569" s="30"/>
      <c r="Q1569" s="30"/>
      <c r="R1569" s="30"/>
    </row>
    <row r="1578" spans="1:19" x14ac:dyDescent="0.35">
      <c r="A1578" s="30"/>
      <c r="B1578" s="30"/>
      <c r="C1578" s="30"/>
      <c r="D1578" s="30"/>
      <c r="E1578" s="30"/>
      <c r="F1578" s="30"/>
      <c r="G1578" s="30"/>
      <c r="H1578" s="30"/>
      <c r="I1578" s="30"/>
      <c r="J1578" s="30"/>
      <c r="K1578" s="30"/>
      <c r="L1578" s="30"/>
      <c r="M1578" s="30"/>
      <c r="N1578" s="30"/>
      <c r="O1578" s="30"/>
      <c r="P1578" s="30"/>
      <c r="Q1578" s="30"/>
      <c r="R1578" s="30"/>
    </row>
    <row r="1580" spans="1:19" x14ac:dyDescent="0.35">
      <c r="A1580" s="30"/>
      <c r="B1580" s="30"/>
      <c r="C1580" s="30"/>
      <c r="D1580" s="30"/>
      <c r="E1580" s="30"/>
      <c r="F1580" s="30"/>
      <c r="G1580" s="30"/>
      <c r="H1580" s="30"/>
      <c r="I1580" s="30"/>
      <c r="J1580" s="30"/>
      <c r="K1580" s="30"/>
      <c r="L1580" s="30"/>
      <c r="M1580" s="30"/>
      <c r="N1580" s="30"/>
      <c r="O1580" s="30"/>
      <c r="P1580" s="30"/>
      <c r="Q1580" s="30"/>
      <c r="R1580" s="30"/>
    </row>
    <row r="1582" spans="1:19" x14ac:dyDescent="0.35">
      <c r="A1582" s="30"/>
      <c r="B1582" s="30"/>
      <c r="C1582" s="30"/>
      <c r="D1582" s="30"/>
      <c r="E1582" s="30"/>
      <c r="F1582" s="30"/>
      <c r="G1582" s="30"/>
      <c r="H1582" s="30"/>
      <c r="I1582" s="30"/>
      <c r="J1582" s="30"/>
      <c r="K1582" s="30"/>
      <c r="L1582" s="30"/>
      <c r="M1582" s="30"/>
      <c r="N1582" s="30"/>
      <c r="O1582" s="30"/>
      <c r="P1582" s="30"/>
      <c r="Q1582" s="30"/>
      <c r="R1582" s="30"/>
      <c r="S1582" s="30"/>
    </row>
    <row r="1584" spans="1:19" x14ac:dyDescent="0.35">
      <c r="A1584" s="30"/>
      <c r="B1584" s="30"/>
      <c r="C1584" s="30"/>
      <c r="D1584" s="30"/>
      <c r="E1584" s="30"/>
      <c r="F1584" s="30"/>
      <c r="G1584" s="30"/>
      <c r="H1584" s="30"/>
      <c r="I1584" s="30"/>
      <c r="J1584" s="30"/>
      <c r="K1584" s="30"/>
      <c r="L1584" s="30"/>
      <c r="M1584" s="30"/>
      <c r="N1584" s="30"/>
      <c r="O1584" s="30"/>
      <c r="P1584" s="30"/>
      <c r="Q1584" s="30"/>
      <c r="R1584" s="30"/>
      <c r="S1584" s="30"/>
    </row>
    <row r="1585" spans="1:19" x14ac:dyDescent="0.35">
      <c r="A1585" s="30"/>
      <c r="B1585" s="30"/>
      <c r="C1585" s="30"/>
      <c r="D1585" s="30"/>
      <c r="E1585" s="30"/>
      <c r="F1585" s="30"/>
      <c r="G1585" s="30"/>
      <c r="H1585" s="30"/>
      <c r="I1585" s="30"/>
      <c r="J1585" s="30"/>
      <c r="K1585" s="30"/>
      <c r="L1585" s="30"/>
      <c r="M1585" s="30"/>
      <c r="N1585" s="30"/>
      <c r="O1585" s="30"/>
      <c r="P1585" s="30"/>
      <c r="Q1585" s="30"/>
      <c r="R1585" s="30"/>
      <c r="S1585" s="30"/>
    </row>
    <row r="1587" spans="1:19" x14ac:dyDescent="0.35">
      <c r="A1587" s="30"/>
      <c r="B1587" s="30"/>
      <c r="C1587" s="30"/>
      <c r="D1587" s="30"/>
      <c r="E1587" s="30"/>
      <c r="F1587" s="30"/>
      <c r="G1587" s="30"/>
      <c r="H1587" s="30"/>
      <c r="I1587" s="30"/>
      <c r="J1587" s="30"/>
      <c r="K1587" s="30"/>
      <c r="L1587" s="30"/>
      <c r="M1587" s="30"/>
      <c r="N1587" s="30"/>
      <c r="O1587" s="30"/>
      <c r="P1587" s="30"/>
      <c r="Q1587" s="30"/>
      <c r="R1587" s="30"/>
    </row>
    <row r="1588" spans="1:19" x14ac:dyDescent="0.35">
      <c r="A1588" s="30"/>
      <c r="B1588" s="30"/>
      <c r="C1588" s="30"/>
      <c r="D1588" s="30"/>
      <c r="E1588" s="30"/>
      <c r="F1588" s="30"/>
      <c r="G1588" s="30"/>
      <c r="H1588" s="30"/>
      <c r="I1588" s="30"/>
      <c r="J1588" s="30"/>
      <c r="K1588" s="30"/>
      <c r="O1588" s="30"/>
      <c r="P1588" s="30"/>
      <c r="Q1588" s="30"/>
      <c r="R1588" s="30"/>
    </row>
    <row r="1589" spans="1:19" x14ac:dyDescent="0.35">
      <c r="S1589" s="20"/>
    </row>
    <row r="1590" spans="1:19" x14ac:dyDescent="0.35">
      <c r="A1590" s="30"/>
      <c r="B1590" s="30"/>
      <c r="C1590" s="30"/>
      <c r="D1590" s="30"/>
      <c r="E1590" s="30"/>
      <c r="F1590" s="30"/>
      <c r="G1590" s="30"/>
      <c r="H1590" s="30"/>
      <c r="I1590" s="30"/>
      <c r="J1590" s="30"/>
      <c r="K1590" s="30"/>
      <c r="L1590" s="30"/>
      <c r="M1590" s="30"/>
      <c r="N1590" s="30"/>
      <c r="O1590" s="30"/>
      <c r="P1590" s="30"/>
      <c r="Q1590" s="30"/>
      <c r="R1590" s="30"/>
      <c r="S1590" s="18"/>
    </row>
    <row r="1591" spans="1:19" x14ac:dyDescent="0.35">
      <c r="S1591" s="20"/>
    </row>
    <row r="1592" spans="1:19" x14ac:dyDescent="0.35">
      <c r="A1592" s="30"/>
      <c r="B1592" s="30"/>
      <c r="C1592" s="30"/>
      <c r="D1592" s="30"/>
      <c r="E1592" s="30"/>
      <c r="F1592" s="30"/>
      <c r="G1592" s="30"/>
      <c r="H1592" s="30"/>
      <c r="I1592" s="30"/>
      <c r="J1592" s="30"/>
      <c r="K1592" s="30"/>
      <c r="L1592" s="30"/>
      <c r="M1592" s="30"/>
      <c r="N1592" s="30"/>
      <c r="O1592" s="30"/>
      <c r="P1592" s="30"/>
      <c r="R1592" s="30"/>
      <c r="S1592" s="20"/>
    </row>
    <row r="1593" spans="1:19" x14ac:dyDescent="0.35">
      <c r="S1593" s="20"/>
    </row>
    <row r="1594" spans="1:19" x14ac:dyDescent="0.35">
      <c r="S1594" s="20"/>
    </row>
    <row r="1595" spans="1:19" x14ac:dyDescent="0.35">
      <c r="S1595" s="20"/>
    </row>
    <row r="1596" spans="1:19" x14ac:dyDescent="0.35">
      <c r="A1596" s="30"/>
      <c r="B1596" s="30"/>
      <c r="C1596" s="30"/>
      <c r="D1596" s="30"/>
      <c r="E1596" s="30"/>
      <c r="F1596" s="30"/>
      <c r="G1596" s="30"/>
      <c r="H1596" s="30"/>
      <c r="I1596" s="30"/>
      <c r="J1596" s="30"/>
      <c r="K1596" s="30"/>
      <c r="L1596" s="30"/>
      <c r="M1596" s="30"/>
      <c r="N1596" s="30"/>
      <c r="O1596" s="30"/>
      <c r="P1596" s="30"/>
      <c r="Q1596" s="30"/>
      <c r="R1596" s="30"/>
      <c r="S1596" s="20"/>
    </row>
    <row r="1597" spans="1:19" x14ac:dyDescent="0.35">
      <c r="S1597" s="20"/>
    </row>
    <row r="1598" spans="1:19" x14ac:dyDescent="0.35">
      <c r="A1598" s="30"/>
      <c r="B1598" s="30"/>
      <c r="C1598" s="30"/>
      <c r="D1598" s="30"/>
      <c r="E1598" s="30"/>
      <c r="F1598" s="30"/>
      <c r="G1598" s="30"/>
      <c r="H1598" s="30"/>
      <c r="I1598" s="30"/>
      <c r="J1598" s="30"/>
      <c r="K1598" s="30"/>
      <c r="L1598" s="30"/>
      <c r="M1598" s="30"/>
      <c r="N1598" s="30"/>
      <c r="O1598" s="30"/>
      <c r="P1598" s="30"/>
      <c r="Q1598" s="30"/>
      <c r="R1598" s="30"/>
      <c r="S1598" s="18"/>
    </row>
    <row r="1599" spans="1:19" x14ac:dyDescent="0.35">
      <c r="S1599" s="20"/>
    </row>
    <row r="1600" spans="1:19" x14ac:dyDescent="0.35">
      <c r="S1600" s="20"/>
    </row>
    <row r="1601" spans="1:19" x14ac:dyDescent="0.35">
      <c r="S1601" s="20"/>
    </row>
    <row r="1602" spans="1:19" x14ac:dyDescent="0.35">
      <c r="S1602" s="20"/>
    </row>
    <row r="1603" spans="1:19" x14ac:dyDescent="0.35">
      <c r="A1603" s="30"/>
      <c r="B1603" s="30"/>
      <c r="C1603" s="30"/>
      <c r="D1603" s="30"/>
      <c r="E1603" s="30"/>
      <c r="F1603" s="30"/>
      <c r="G1603" s="30"/>
      <c r="H1603" s="30"/>
      <c r="I1603" s="30"/>
      <c r="J1603" s="30"/>
      <c r="K1603" s="30"/>
      <c r="L1603" s="30"/>
      <c r="M1603" s="30"/>
      <c r="N1603" s="30"/>
      <c r="O1603" s="30"/>
      <c r="P1603" s="30"/>
      <c r="Q1603" s="30"/>
      <c r="R1603" s="30"/>
      <c r="S1603" s="20"/>
    </row>
    <row r="1604" spans="1:19" x14ac:dyDescent="0.35">
      <c r="S1604" s="20"/>
    </row>
    <row r="1605" spans="1:19" x14ac:dyDescent="0.35">
      <c r="A1605" s="30"/>
      <c r="B1605" s="30"/>
      <c r="C1605" s="30"/>
      <c r="D1605" s="30"/>
      <c r="E1605" s="30"/>
      <c r="F1605" s="30"/>
      <c r="G1605" s="30"/>
      <c r="H1605" s="30"/>
      <c r="I1605" s="30"/>
      <c r="J1605" s="30"/>
      <c r="K1605" s="30"/>
      <c r="L1605" s="30"/>
      <c r="M1605" s="30"/>
      <c r="N1605" s="30"/>
      <c r="O1605" s="30"/>
      <c r="P1605" s="30"/>
      <c r="Q1605" s="30"/>
      <c r="R1605" s="30"/>
      <c r="S1605" s="18"/>
    </row>
    <row r="1606" spans="1:19" x14ac:dyDescent="0.35">
      <c r="S1606" s="20"/>
    </row>
    <row r="1607" spans="1:19" x14ac:dyDescent="0.35">
      <c r="S1607" s="20"/>
    </row>
    <row r="1608" spans="1:19" x14ac:dyDescent="0.35">
      <c r="S1608" s="18"/>
    </row>
    <row r="1609" spans="1:19" x14ac:dyDescent="0.35">
      <c r="S1609" s="20"/>
    </row>
    <row r="1610" spans="1:19" x14ac:dyDescent="0.35">
      <c r="S1610" s="20"/>
    </row>
    <row r="1611" spans="1:19" x14ac:dyDescent="0.35">
      <c r="A1611" s="30"/>
      <c r="B1611" s="30"/>
      <c r="C1611" s="30"/>
      <c r="D1611" s="30"/>
      <c r="E1611" s="30"/>
      <c r="F1611" s="30"/>
      <c r="G1611" s="30"/>
      <c r="H1611" s="30"/>
      <c r="I1611" s="30"/>
      <c r="J1611" s="30"/>
      <c r="K1611" s="30"/>
      <c r="L1611" s="30"/>
      <c r="M1611" s="30"/>
      <c r="N1611" s="30"/>
      <c r="O1611" s="30"/>
      <c r="P1611" s="30"/>
      <c r="Q1611" s="30"/>
      <c r="R1611" s="30"/>
      <c r="S1611" s="20"/>
    </row>
    <row r="1612" spans="1:19" x14ac:dyDescent="0.35">
      <c r="A1612" s="30"/>
      <c r="B1612" s="30"/>
      <c r="C1612" s="30"/>
      <c r="D1612" s="30"/>
      <c r="E1612" s="30"/>
      <c r="F1612" s="30"/>
      <c r="G1612" s="30"/>
      <c r="H1612" s="30"/>
      <c r="I1612" s="30"/>
      <c r="J1612" s="30"/>
      <c r="K1612" s="30"/>
      <c r="L1612" s="30"/>
      <c r="M1612" s="30"/>
      <c r="N1612" s="30"/>
      <c r="O1612" s="30"/>
      <c r="P1612" s="30"/>
      <c r="Q1612" s="30"/>
      <c r="R1612" s="30"/>
      <c r="S1612" s="20"/>
    </row>
    <row r="1613" spans="1:19" x14ac:dyDescent="0.35">
      <c r="A1613" s="30"/>
      <c r="B1613" s="30"/>
      <c r="C1613" s="30"/>
      <c r="D1613" s="30"/>
      <c r="E1613" s="30"/>
      <c r="F1613" s="30"/>
      <c r="G1613" s="30"/>
      <c r="H1613" s="30"/>
      <c r="I1613" s="30"/>
      <c r="J1613" s="30"/>
      <c r="K1613" s="30"/>
      <c r="L1613" s="30"/>
      <c r="M1613" s="30"/>
      <c r="N1613" s="30"/>
      <c r="O1613" s="30"/>
      <c r="P1613" s="30"/>
      <c r="Q1613" s="30"/>
      <c r="R1613" s="30"/>
      <c r="S1613" s="18"/>
    </row>
    <row r="1614" spans="1:19" x14ac:dyDescent="0.35">
      <c r="A1614" s="30"/>
      <c r="B1614" s="30"/>
      <c r="C1614" s="30"/>
      <c r="D1614" s="30"/>
      <c r="E1614" s="30"/>
      <c r="F1614" s="30"/>
      <c r="G1614" s="30"/>
      <c r="H1614" s="30"/>
      <c r="I1614" s="30"/>
      <c r="J1614" s="30"/>
      <c r="K1614" s="30"/>
      <c r="O1614" s="30"/>
      <c r="P1614" s="30"/>
      <c r="Q1614" s="30"/>
      <c r="R1614" s="30"/>
      <c r="S1614" s="20"/>
    </row>
    <row r="1615" spans="1:19" x14ac:dyDescent="0.35">
      <c r="S1615" s="20"/>
    </row>
    <row r="1616" spans="1:19" x14ac:dyDescent="0.35">
      <c r="S1616" s="20"/>
    </row>
    <row r="1617" spans="1:19" x14ac:dyDescent="0.35">
      <c r="A1617" s="30"/>
      <c r="B1617" s="30"/>
      <c r="C1617" s="30"/>
      <c r="D1617" s="30"/>
      <c r="E1617" s="30"/>
      <c r="F1617" s="30"/>
      <c r="G1617" s="30"/>
      <c r="H1617" s="30"/>
      <c r="I1617" s="30"/>
      <c r="J1617" s="30"/>
      <c r="K1617" s="30"/>
      <c r="L1617" s="30"/>
      <c r="M1617" s="30"/>
      <c r="N1617" s="30"/>
      <c r="O1617" s="30"/>
      <c r="P1617" s="30"/>
      <c r="R1617" s="30"/>
      <c r="S1617" s="20"/>
    </row>
    <row r="1618" spans="1:19" x14ac:dyDescent="0.35">
      <c r="A1618" s="30"/>
      <c r="B1618" s="30"/>
      <c r="C1618" s="30"/>
      <c r="D1618" s="30"/>
      <c r="E1618" s="30"/>
      <c r="F1618" s="30"/>
      <c r="G1618" s="30"/>
      <c r="H1618" s="30"/>
      <c r="I1618" s="30"/>
      <c r="J1618" s="30"/>
      <c r="K1618" s="30"/>
      <c r="L1618" s="30"/>
      <c r="M1618" s="30"/>
      <c r="N1618" s="30"/>
      <c r="O1618" s="30"/>
      <c r="P1618" s="30"/>
      <c r="Q1618" s="30"/>
      <c r="R1618" s="30"/>
      <c r="S1618" s="20"/>
    </row>
    <row r="1619" spans="1:19" x14ac:dyDescent="0.35">
      <c r="S1619" s="20"/>
    </row>
    <row r="1620" spans="1:19" x14ac:dyDescent="0.35">
      <c r="A1620" s="30"/>
      <c r="B1620" s="30"/>
      <c r="C1620" s="30"/>
      <c r="D1620" s="30"/>
      <c r="E1620" s="30"/>
      <c r="F1620" s="30"/>
      <c r="G1620" s="30"/>
      <c r="H1620" s="30"/>
      <c r="I1620" s="30"/>
      <c r="J1620" s="30"/>
      <c r="K1620" s="30"/>
      <c r="L1620" s="30"/>
      <c r="M1620" s="30"/>
      <c r="N1620" s="30"/>
      <c r="O1620" s="30"/>
      <c r="P1620" s="30"/>
      <c r="Q1620" s="30"/>
      <c r="R1620" s="30"/>
      <c r="S1620" s="20"/>
    </row>
    <row r="1621" spans="1:19" x14ac:dyDescent="0.35">
      <c r="A1621" s="30"/>
      <c r="B1621" s="30"/>
      <c r="C1621" s="30"/>
      <c r="D1621" s="30"/>
      <c r="E1621" s="30"/>
      <c r="F1621" s="30"/>
      <c r="G1621" s="30"/>
      <c r="H1621" s="30"/>
      <c r="I1621" s="30"/>
      <c r="J1621" s="30"/>
      <c r="K1621" s="30"/>
      <c r="L1621" s="30"/>
      <c r="M1621" s="30"/>
      <c r="N1621" s="30"/>
      <c r="O1621" s="30"/>
      <c r="P1621" s="30"/>
      <c r="Q1621" s="30"/>
      <c r="R1621" s="30"/>
      <c r="S1621" s="18"/>
    </row>
    <row r="1622" spans="1:19" x14ac:dyDescent="0.35">
      <c r="S1622" s="20"/>
    </row>
    <row r="1623" spans="1:19" x14ac:dyDescent="0.35">
      <c r="S1623" s="20"/>
    </row>
    <row r="1624" spans="1:19" x14ac:dyDescent="0.35">
      <c r="S1624" s="20"/>
    </row>
    <row r="1625" spans="1:19" x14ac:dyDescent="0.35">
      <c r="A1625" s="30"/>
      <c r="B1625" s="30"/>
      <c r="C1625" s="30"/>
      <c r="D1625" s="30"/>
      <c r="E1625" s="30"/>
      <c r="F1625" s="30"/>
      <c r="G1625" s="30"/>
      <c r="H1625" s="30"/>
      <c r="I1625" s="30"/>
      <c r="J1625" s="30"/>
      <c r="K1625" s="30"/>
      <c r="L1625" s="30"/>
      <c r="M1625" s="30"/>
      <c r="N1625" s="30"/>
      <c r="O1625" s="30"/>
      <c r="P1625" s="30"/>
      <c r="Q1625" s="30"/>
      <c r="R1625" s="30"/>
      <c r="S1625" s="18"/>
    </row>
    <row r="1626" spans="1:19" x14ac:dyDescent="0.35">
      <c r="A1626" s="30"/>
      <c r="B1626" s="30"/>
      <c r="C1626" s="30"/>
      <c r="D1626" s="30"/>
      <c r="E1626" s="30"/>
      <c r="F1626" s="30"/>
      <c r="G1626" s="30"/>
      <c r="H1626" s="30"/>
      <c r="I1626" s="30"/>
      <c r="J1626" s="30"/>
      <c r="K1626" s="30"/>
      <c r="L1626" s="30"/>
      <c r="M1626" s="30"/>
      <c r="N1626" s="30"/>
      <c r="O1626" s="30"/>
      <c r="P1626" s="30"/>
      <c r="Q1626" s="30"/>
      <c r="R1626" s="30"/>
      <c r="S1626" s="18"/>
    </row>
    <row r="1627" spans="1:19" x14ac:dyDescent="0.35">
      <c r="A1627" s="30"/>
      <c r="B1627" s="30"/>
      <c r="C1627" s="30"/>
      <c r="D1627" s="30"/>
      <c r="E1627" s="30"/>
      <c r="F1627" s="30"/>
      <c r="G1627" s="30"/>
      <c r="H1627" s="30"/>
      <c r="I1627" s="30"/>
      <c r="J1627" s="30"/>
      <c r="K1627" s="30"/>
      <c r="L1627" s="30"/>
      <c r="M1627" s="30"/>
      <c r="N1627" s="30"/>
      <c r="O1627" s="30"/>
      <c r="P1627" s="30"/>
      <c r="Q1627" s="30"/>
      <c r="R1627" s="30"/>
      <c r="S1627" s="18"/>
    </row>
    <row r="1628" spans="1:19" x14ac:dyDescent="0.35">
      <c r="S1628" s="20"/>
    </row>
    <row r="1629" spans="1:19" x14ac:dyDescent="0.35">
      <c r="A1629" s="30"/>
      <c r="B1629" s="30"/>
      <c r="C1629" s="30"/>
      <c r="D1629" s="30"/>
      <c r="E1629" s="30"/>
      <c r="F1629" s="30"/>
      <c r="G1629" s="30"/>
      <c r="H1629" s="30"/>
      <c r="I1629" s="30"/>
      <c r="J1629" s="30"/>
      <c r="K1629" s="30"/>
      <c r="O1629" s="30"/>
      <c r="P1629" s="30"/>
      <c r="Q1629" s="30"/>
      <c r="R1629" s="30"/>
      <c r="S1629" s="20"/>
    </row>
    <row r="1630" spans="1:19" x14ac:dyDescent="0.35">
      <c r="S1630" s="20"/>
    </row>
    <row r="1631" spans="1:19" x14ac:dyDescent="0.35">
      <c r="S1631" s="20"/>
    </row>
    <row r="1632" spans="1:19" x14ac:dyDescent="0.35">
      <c r="A1632" s="30"/>
      <c r="B1632" s="30"/>
      <c r="C1632" s="30"/>
      <c r="D1632" s="30"/>
      <c r="E1632" s="30"/>
      <c r="F1632" s="30"/>
      <c r="G1632" s="30"/>
      <c r="H1632" s="30"/>
      <c r="I1632" s="30"/>
      <c r="J1632" s="30"/>
      <c r="K1632" s="30"/>
      <c r="L1632" s="30"/>
      <c r="M1632" s="30"/>
      <c r="N1632" s="30"/>
      <c r="O1632" s="30"/>
      <c r="P1632" s="30"/>
      <c r="Q1632" s="30"/>
      <c r="R1632" s="30"/>
      <c r="S1632" s="18"/>
    </row>
    <row r="1633" spans="1:19" x14ac:dyDescent="0.35">
      <c r="S1633" s="20"/>
    </row>
    <row r="1634" spans="1:19" x14ac:dyDescent="0.35">
      <c r="S1634" s="20"/>
    </row>
    <row r="1635" spans="1:19" x14ac:dyDescent="0.35">
      <c r="S1635" s="20"/>
    </row>
    <row r="1636" spans="1:19" x14ac:dyDescent="0.35">
      <c r="S1636" s="20"/>
    </row>
    <row r="1637" spans="1:19" x14ac:dyDescent="0.35">
      <c r="A1637" s="30"/>
      <c r="B1637" s="30"/>
      <c r="C1637" s="30"/>
      <c r="D1637" s="30"/>
      <c r="E1637" s="30"/>
      <c r="F1637" s="30"/>
      <c r="G1637" s="30"/>
      <c r="H1637" s="30"/>
      <c r="I1637" s="30"/>
      <c r="J1637" s="30"/>
      <c r="K1637" s="30"/>
      <c r="L1637" s="30"/>
      <c r="M1637" s="30"/>
      <c r="N1637" s="30"/>
      <c r="O1637" s="30"/>
      <c r="P1637" s="30"/>
      <c r="Q1637" s="30"/>
      <c r="R1637" s="30"/>
      <c r="S1637" s="20"/>
    </row>
    <row r="1638" spans="1:19" x14ac:dyDescent="0.35">
      <c r="S1638" s="20"/>
    </row>
    <row r="1639" spans="1:19" x14ac:dyDescent="0.35">
      <c r="A1639" s="30"/>
      <c r="B1639" s="30"/>
      <c r="C1639" s="30"/>
      <c r="D1639" s="30"/>
      <c r="E1639" s="30"/>
      <c r="F1639" s="30"/>
      <c r="G1639" s="30"/>
      <c r="H1639" s="30"/>
      <c r="I1639" s="30"/>
      <c r="J1639" s="30"/>
      <c r="K1639" s="30"/>
      <c r="L1639" s="30"/>
      <c r="M1639" s="30"/>
      <c r="N1639" s="30"/>
      <c r="O1639" s="30"/>
      <c r="P1639" s="30"/>
      <c r="Q1639" s="30"/>
      <c r="R1639" s="30"/>
      <c r="S1639" s="20"/>
    </row>
    <row r="1640" spans="1:19" x14ac:dyDescent="0.35">
      <c r="A1640" s="30"/>
      <c r="B1640" s="30"/>
      <c r="C1640" s="30"/>
      <c r="D1640" s="30"/>
      <c r="E1640" s="30"/>
      <c r="F1640" s="30"/>
      <c r="G1640" s="30"/>
      <c r="H1640" s="30"/>
      <c r="I1640" s="30"/>
      <c r="J1640" s="30"/>
      <c r="K1640" s="30"/>
      <c r="L1640" s="30"/>
      <c r="M1640" s="30"/>
      <c r="N1640" s="30"/>
      <c r="O1640" s="30"/>
      <c r="P1640" s="30"/>
      <c r="Q1640" s="30"/>
      <c r="R1640" s="30"/>
      <c r="S1640" s="20"/>
    </row>
    <row r="1641" spans="1:19" x14ac:dyDescent="0.35">
      <c r="S1641" s="20"/>
    </row>
    <row r="1642" spans="1:19" x14ac:dyDescent="0.35">
      <c r="S1642" s="20"/>
    </row>
    <row r="1643" spans="1:19" x14ac:dyDescent="0.35">
      <c r="A1643" s="30"/>
      <c r="B1643" s="30"/>
      <c r="C1643" s="30"/>
      <c r="D1643" s="30"/>
      <c r="E1643" s="30"/>
      <c r="F1643" s="30"/>
      <c r="G1643" s="30"/>
      <c r="H1643" s="30"/>
      <c r="I1643" s="30"/>
      <c r="J1643" s="30"/>
      <c r="K1643" s="30"/>
      <c r="L1643" s="30"/>
      <c r="M1643" s="30"/>
      <c r="N1643" s="30"/>
      <c r="O1643" s="30"/>
      <c r="P1643" s="30"/>
      <c r="Q1643" s="30"/>
      <c r="R1643" s="30"/>
      <c r="S1643" s="20"/>
    </row>
    <row r="1644" spans="1:19" x14ac:dyDescent="0.35">
      <c r="S1644" s="20"/>
    </row>
    <row r="1645" spans="1:19" x14ac:dyDescent="0.35">
      <c r="A1645" s="30"/>
      <c r="B1645" s="30"/>
      <c r="C1645" s="30"/>
      <c r="D1645" s="30"/>
      <c r="E1645" s="30"/>
      <c r="F1645" s="30"/>
      <c r="G1645" s="30"/>
      <c r="H1645" s="30"/>
      <c r="I1645" s="30"/>
      <c r="J1645" s="30"/>
      <c r="K1645" s="30"/>
      <c r="L1645" s="30"/>
      <c r="M1645" s="30"/>
      <c r="N1645" s="30"/>
      <c r="O1645" s="30"/>
      <c r="P1645" s="30"/>
      <c r="Q1645" s="30"/>
      <c r="R1645" s="30"/>
      <c r="S1645" s="20"/>
    </row>
    <row r="1646" spans="1:19" x14ac:dyDescent="0.35">
      <c r="S1646" s="20"/>
    </row>
    <row r="1647" spans="1:19" x14ac:dyDescent="0.35">
      <c r="S1647" s="20"/>
    </row>
    <row r="1648" spans="1:19" x14ac:dyDescent="0.35">
      <c r="S1648" s="20"/>
    </row>
    <row r="1649" spans="1:19" x14ac:dyDescent="0.35">
      <c r="A1649" s="30"/>
      <c r="B1649" s="30"/>
      <c r="C1649" s="30"/>
      <c r="D1649" s="30"/>
      <c r="E1649" s="30"/>
      <c r="F1649" s="30"/>
      <c r="G1649" s="30"/>
      <c r="H1649" s="30"/>
      <c r="I1649" s="30"/>
      <c r="J1649" s="30"/>
      <c r="K1649" s="30"/>
      <c r="L1649" s="30"/>
      <c r="M1649" s="30"/>
      <c r="N1649" s="30"/>
      <c r="O1649" s="30"/>
      <c r="P1649" s="30"/>
      <c r="Q1649" s="30"/>
      <c r="R1649" s="30"/>
      <c r="S1649" s="18"/>
    </row>
    <row r="1650" spans="1:19" x14ac:dyDescent="0.35">
      <c r="A1650" s="30"/>
      <c r="B1650" s="30"/>
      <c r="C1650" s="30"/>
      <c r="D1650" s="30"/>
      <c r="E1650" s="30"/>
      <c r="F1650" s="30"/>
      <c r="G1650" s="30"/>
      <c r="H1650" s="30"/>
      <c r="I1650" s="30"/>
      <c r="J1650" s="30"/>
      <c r="K1650" s="30"/>
      <c r="L1650" s="30"/>
      <c r="M1650" s="30"/>
      <c r="N1650" s="30"/>
      <c r="O1650" s="30"/>
      <c r="P1650" s="30"/>
      <c r="Q1650" s="30"/>
      <c r="R1650" s="30"/>
      <c r="S1650" s="18"/>
    </row>
    <row r="1651" spans="1:19" x14ac:dyDescent="0.35">
      <c r="A1651" s="30"/>
      <c r="B1651" s="30"/>
      <c r="C1651" s="30"/>
      <c r="D1651" s="30"/>
      <c r="E1651" s="30"/>
      <c r="F1651" s="30"/>
      <c r="G1651" s="30"/>
      <c r="H1651" s="30"/>
      <c r="I1651" s="30"/>
      <c r="J1651" s="30"/>
      <c r="K1651" s="30"/>
      <c r="L1651" s="30"/>
      <c r="M1651" s="30"/>
      <c r="N1651" s="30"/>
      <c r="O1651" s="30"/>
      <c r="P1651" s="30"/>
      <c r="Q1651" s="30"/>
      <c r="R1651" s="30"/>
      <c r="S1651" s="18"/>
    </row>
    <row r="1652" spans="1:19" x14ac:dyDescent="0.35">
      <c r="A1652" s="30"/>
      <c r="B1652" s="30"/>
      <c r="C1652" s="30"/>
      <c r="D1652" s="30"/>
      <c r="E1652" s="30"/>
      <c r="F1652" s="30"/>
      <c r="G1652" s="30"/>
      <c r="H1652" s="30"/>
      <c r="I1652" s="30"/>
      <c r="J1652" s="30"/>
      <c r="K1652" s="30"/>
      <c r="L1652" s="30"/>
      <c r="M1652" s="30"/>
      <c r="N1652" s="30"/>
      <c r="O1652" s="30"/>
      <c r="P1652" s="30"/>
      <c r="Q1652" s="30"/>
      <c r="R1652" s="30"/>
      <c r="S1652" s="20"/>
    </row>
    <row r="1653" spans="1:19" x14ac:dyDescent="0.35">
      <c r="S1653" s="20"/>
    </row>
    <row r="1654" spans="1:19" x14ac:dyDescent="0.35">
      <c r="S1654" s="20"/>
    </row>
    <row r="1655" spans="1:19" x14ac:dyDescent="0.35">
      <c r="S1655" s="20"/>
    </row>
    <row r="1656" spans="1:19" x14ac:dyDescent="0.35">
      <c r="A1656" s="30"/>
      <c r="B1656" s="30"/>
      <c r="C1656" s="30"/>
      <c r="D1656" s="30"/>
      <c r="E1656" s="30"/>
      <c r="F1656" s="30"/>
      <c r="G1656" s="30"/>
      <c r="H1656" s="30"/>
      <c r="I1656" s="30"/>
      <c r="J1656" s="30"/>
      <c r="K1656" s="30"/>
      <c r="L1656" s="30"/>
      <c r="M1656" s="30"/>
      <c r="N1656" s="30"/>
      <c r="O1656" s="30"/>
      <c r="P1656" s="30"/>
      <c r="Q1656" s="30"/>
      <c r="R1656" s="30"/>
      <c r="S1656" s="20"/>
    </row>
    <row r="1657" spans="1:19" x14ac:dyDescent="0.35">
      <c r="A1657" s="30"/>
      <c r="B1657" s="30"/>
      <c r="C1657" s="30"/>
      <c r="D1657" s="30"/>
      <c r="E1657" s="30"/>
      <c r="F1657" s="30"/>
      <c r="G1657" s="30"/>
      <c r="H1657" s="30"/>
      <c r="I1657" s="30"/>
      <c r="J1657" s="30"/>
      <c r="K1657" s="30"/>
      <c r="L1657" s="30"/>
      <c r="M1657" s="30"/>
      <c r="N1657" s="30"/>
      <c r="O1657" s="30"/>
      <c r="P1657" s="30"/>
      <c r="Q1657" s="30"/>
      <c r="R1657" s="30"/>
      <c r="S1657" s="20"/>
    </row>
    <row r="1658" spans="1:19" x14ac:dyDescent="0.35">
      <c r="A1658" s="30"/>
      <c r="B1658" s="30"/>
      <c r="C1658" s="30"/>
      <c r="D1658" s="30"/>
      <c r="E1658" s="30"/>
      <c r="F1658" s="30"/>
      <c r="G1658" s="30"/>
      <c r="H1658" s="30"/>
      <c r="I1658" s="30"/>
      <c r="J1658" s="30"/>
      <c r="K1658" s="30"/>
      <c r="L1658" s="30"/>
      <c r="M1658" s="30"/>
      <c r="N1658" s="30"/>
      <c r="O1658" s="30"/>
      <c r="P1658" s="30"/>
      <c r="Q1658" s="30"/>
      <c r="R1658" s="30"/>
      <c r="S1658" s="20"/>
    </row>
    <row r="1659" spans="1:19" x14ac:dyDescent="0.35">
      <c r="S1659" s="20"/>
    </row>
    <row r="1660" spans="1:19" x14ac:dyDescent="0.35">
      <c r="A1660" s="30"/>
      <c r="B1660" s="30"/>
      <c r="C1660" s="30"/>
      <c r="D1660" s="30"/>
      <c r="E1660" s="30"/>
      <c r="F1660" s="30"/>
      <c r="G1660" s="30"/>
      <c r="H1660" s="30"/>
      <c r="I1660" s="30"/>
      <c r="J1660" s="30"/>
      <c r="K1660" s="30"/>
      <c r="L1660" s="30"/>
      <c r="M1660" s="30"/>
      <c r="N1660" s="30"/>
      <c r="O1660" s="30"/>
      <c r="P1660" s="30"/>
      <c r="Q1660" s="30"/>
      <c r="R1660" s="30"/>
      <c r="S1660" s="20"/>
    </row>
    <row r="1661" spans="1:19" x14ac:dyDescent="0.35">
      <c r="S1661" s="20"/>
    </row>
    <row r="1662" spans="1:19" x14ac:dyDescent="0.35">
      <c r="S1662" s="20"/>
    </row>
    <row r="1663" spans="1:19" x14ac:dyDescent="0.35">
      <c r="A1663" s="30"/>
      <c r="B1663" s="30"/>
      <c r="C1663" s="30"/>
      <c r="D1663" s="30"/>
      <c r="E1663" s="30"/>
      <c r="F1663" s="30"/>
      <c r="G1663" s="30"/>
      <c r="H1663" s="30"/>
      <c r="I1663" s="30"/>
      <c r="J1663" s="30"/>
      <c r="K1663" s="30"/>
      <c r="O1663" s="30"/>
      <c r="P1663" s="30"/>
      <c r="Q1663" s="30"/>
      <c r="R1663" s="30"/>
    </row>
    <row r="1664" spans="1:19" x14ac:dyDescent="0.35">
      <c r="A1664" s="30"/>
      <c r="B1664" s="30"/>
      <c r="C1664" s="30"/>
      <c r="D1664" s="30"/>
      <c r="E1664" s="30"/>
      <c r="F1664" s="30"/>
      <c r="G1664" s="30"/>
      <c r="H1664" s="30"/>
      <c r="I1664" s="30"/>
      <c r="J1664" s="30"/>
      <c r="K1664" s="30"/>
      <c r="L1664" s="30"/>
      <c r="M1664" s="30"/>
      <c r="N1664" s="30"/>
      <c r="O1664" s="30"/>
      <c r="P1664" s="30"/>
      <c r="Q1664" s="30"/>
      <c r="R1664" s="30"/>
    </row>
    <row r="1669" spans="1:19" x14ac:dyDescent="0.35">
      <c r="A1669" s="30"/>
      <c r="B1669" s="30"/>
      <c r="C1669" s="30"/>
      <c r="D1669" s="30"/>
      <c r="E1669" s="30"/>
      <c r="F1669" s="30"/>
      <c r="G1669" s="30"/>
      <c r="H1669" s="30"/>
      <c r="I1669" s="30"/>
      <c r="J1669" s="30"/>
      <c r="K1669" s="30"/>
      <c r="L1669" s="30"/>
      <c r="M1669" s="30"/>
      <c r="N1669" s="30"/>
      <c r="O1669" s="30"/>
      <c r="P1669" s="30"/>
      <c r="Q1669" s="30"/>
      <c r="R1669" s="30"/>
    </row>
    <row r="1673" spans="1:19" x14ac:dyDescent="0.35">
      <c r="A1673" s="30"/>
      <c r="B1673" s="30"/>
      <c r="C1673" s="30"/>
      <c r="D1673" s="30"/>
      <c r="E1673" s="30"/>
      <c r="F1673" s="30"/>
      <c r="G1673" s="30"/>
      <c r="H1673" s="30"/>
      <c r="I1673" s="30"/>
      <c r="J1673" s="30"/>
      <c r="K1673" s="30"/>
      <c r="L1673" s="30"/>
      <c r="M1673" s="30"/>
      <c r="N1673" s="30"/>
      <c r="O1673" s="30"/>
      <c r="P1673" s="30"/>
      <c r="Q1673" s="30"/>
      <c r="R1673" s="30"/>
      <c r="S1673" s="30"/>
    </row>
    <row r="1675" spans="1:19" x14ac:dyDescent="0.35">
      <c r="A1675" s="30"/>
      <c r="B1675" s="30"/>
      <c r="C1675" s="30"/>
      <c r="D1675" s="30"/>
      <c r="E1675" s="30"/>
      <c r="F1675" s="30"/>
      <c r="G1675" s="30"/>
      <c r="H1675" s="30"/>
      <c r="I1675" s="30"/>
      <c r="J1675" s="30"/>
      <c r="K1675" s="30"/>
      <c r="L1675" s="30"/>
      <c r="M1675" s="30"/>
      <c r="N1675" s="30"/>
      <c r="O1675" s="30"/>
      <c r="P1675" s="30"/>
      <c r="Q1675" s="30"/>
      <c r="R1675" s="30"/>
    </row>
    <row r="1676" spans="1:19" x14ac:dyDescent="0.35">
      <c r="S1676" s="30"/>
    </row>
    <row r="1677" spans="1:19" x14ac:dyDescent="0.35">
      <c r="A1677" s="30"/>
      <c r="B1677" s="30"/>
      <c r="C1677" s="30"/>
      <c r="D1677" s="30"/>
      <c r="E1677" s="30"/>
      <c r="F1677" s="30"/>
      <c r="G1677" s="30"/>
      <c r="H1677" s="30"/>
      <c r="I1677" s="30"/>
      <c r="J1677" s="30"/>
      <c r="K1677" s="30"/>
      <c r="L1677" s="30"/>
      <c r="M1677" s="30"/>
      <c r="N1677" s="30"/>
      <c r="O1677" s="30"/>
      <c r="P1677" s="30"/>
      <c r="Q1677" s="30"/>
      <c r="R1677" s="30"/>
    </row>
    <row r="1678" spans="1:19" x14ac:dyDescent="0.35">
      <c r="A1678" s="30"/>
      <c r="B1678" s="30"/>
      <c r="C1678" s="30"/>
      <c r="D1678" s="30"/>
      <c r="E1678" s="30"/>
      <c r="F1678" s="30"/>
      <c r="G1678" s="30"/>
      <c r="H1678" s="30"/>
      <c r="I1678" s="30"/>
      <c r="J1678" s="30"/>
      <c r="K1678" s="30"/>
      <c r="L1678" s="30"/>
      <c r="M1678" s="30"/>
      <c r="N1678" s="30"/>
      <c r="O1678" s="30"/>
      <c r="P1678" s="30"/>
      <c r="Q1678" s="30"/>
      <c r="R1678" s="30"/>
    </row>
    <row r="1679" spans="1:19" x14ac:dyDescent="0.35">
      <c r="A1679" s="30"/>
      <c r="B1679" s="30"/>
      <c r="C1679" s="30"/>
      <c r="D1679" s="30"/>
      <c r="E1679" s="30"/>
      <c r="F1679" s="30"/>
      <c r="G1679" s="30"/>
      <c r="H1679" s="30"/>
      <c r="I1679" s="30"/>
      <c r="J1679" s="30"/>
      <c r="K1679" s="30"/>
      <c r="L1679" s="30"/>
      <c r="M1679" s="30"/>
      <c r="N1679" s="30"/>
      <c r="O1679" s="30"/>
      <c r="P1679" s="30"/>
      <c r="Q1679" s="30"/>
      <c r="R1679" s="30"/>
    </row>
    <row r="1680" spans="1:19" x14ac:dyDescent="0.35">
      <c r="A1680" s="30"/>
      <c r="B1680" s="30"/>
      <c r="C1680" s="30"/>
      <c r="D1680" s="30"/>
      <c r="E1680" s="30"/>
      <c r="F1680" s="30"/>
      <c r="G1680" s="30"/>
      <c r="H1680" s="30"/>
      <c r="I1680" s="30"/>
      <c r="J1680" s="30"/>
      <c r="K1680" s="30"/>
      <c r="L1680" s="30"/>
      <c r="M1680" s="30"/>
      <c r="N1680" s="30"/>
      <c r="O1680" s="30"/>
      <c r="P1680" s="30"/>
      <c r="Q1680" s="30"/>
      <c r="R1680" s="30"/>
    </row>
    <row r="1683" spans="1:18" x14ac:dyDescent="0.35">
      <c r="A1683" s="30"/>
      <c r="B1683" s="30"/>
      <c r="C1683" s="30"/>
      <c r="D1683" s="30"/>
      <c r="E1683" s="30"/>
      <c r="F1683" s="30"/>
      <c r="G1683" s="30"/>
      <c r="H1683" s="30"/>
      <c r="I1683" s="30"/>
      <c r="J1683" s="30"/>
      <c r="K1683" s="30"/>
      <c r="L1683" s="30"/>
      <c r="M1683" s="30"/>
      <c r="N1683" s="30"/>
      <c r="O1683" s="30"/>
      <c r="P1683" s="30"/>
      <c r="Q1683" s="30"/>
      <c r="R1683" s="30"/>
    </row>
    <row r="1684" spans="1:18" x14ac:dyDescent="0.35">
      <c r="A1684" s="30"/>
      <c r="B1684" s="30"/>
      <c r="C1684" s="30"/>
      <c r="D1684" s="30"/>
      <c r="E1684" s="30"/>
      <c r="F1684" s="30"/>
      <c r="G1684" s="30"/>
      <c r="H1684" s="30"/>
      <c r="I1684" s="30"/>
      <c r="J1684" s="30"/>
      <c r="K1684" s="30"/>
      <c r="L1684" s="30"/>
      <c r="M1684" s="30"/>
      <c r="N1684" s="30"/>
      <c r="O1684" s="30"/>
      <c r="P1684" s="30"/>
      <c r="Q1684" s="30"/>
      <c r="R1684" s="30"/>
    </row>
    <row r="1688" spans="1:18" x14ac:dyDescent="0.35">
      <c r="A1688" s="30"/>
      <c r="B1688" s="30"/>
      <c r="C1688" s="30"/>
      <c r="D1688" s="30"/>
      <c r="E1688" s="30"/>
      <c r="F1688" s="30"/>
      <c r="G1688" s="30"/>
      <c r="H1688" s="30"/>
      <c r="I1688" s="30"/>
      <c r="J1688" s="30"/>
      <c r="K1688" s="30"/>
      <c r="O1688" s="30"/>
      <c r="P1688" s="30"/>
      <c r="Q1688" s="30"/>
      <c r="R1688" s="30"/>
    </row>
    <row r="1690" spans="1:18" x14ac:dyDescent="0.35">
      <c r="A1690" s="30"/>
      <c r="B1690" s="30"/>
      <c r="C1690" s="30"/>
      <c r="D1690" s="30"/>
      <c r="E1690" s="30"/>
      <c r="F1690" s="30"/>
      <c r="G1690" s="30"/>
      <c r="H1690" s="30"/>
      <c r="I1690" s="30"/>
      <c r="J1690" s="30"/>
      <c r="K1690" s="30"/>
      <c r="L1690" s="30"/>
      <c r="M1690" s="30"/>
      <c r="N1690" s="30"/>
      <c r="O1690" s="30"/>
      <c r="P1690" s="30"/>
      <c r="Q1690" s="30"/>
      <c r="R1690" s="30"/>
    </row>
    <row r="1691" spans="1:18" x14ac:dyDescent="0.35">
      <c r="A1691" s="30"/>
      <c r="B1691" s="30"/>
      <c r="C1691" s="30"/>
      <c r="D1691" s="30"/>
      <c r="E1691" s="30"/>
      <c r="F1691" s="30"/>
      <c r="G1691" s="30"/>
      <c r="H1691" s="30"/>
      <c r="I1691" s="30"/>
      <c r="J1691" s="30"/>
      <c r="K1691" s="30"/>
      <c r="L1691" s="30"/>
      <c r="M1691" s="30"/>
      <c r="N1691" s="30"/>
      <c r="O1691" s="30"/>
      <c r="P1691" s="30"/>
      <c r="Q1691" s="30"/>
      <c r="R1691" s="30"/>
    </row>
    <row r="1697" spans="1:19" x14ac:dyDescent="0.35">
      <c r="A1697" s="30"/>
      <c r="B1697" s="30"/>
      <c r="C1697" s="30"/>
      <c r="D1697" s="30"/>
      <c r="E1697" s="30"/>
      <c r="F1697" s="30"/>
      <c r="G1697" s="30"/>
      <c r="H1697" s="30"/>
      <c r="I1697" s="30"/>
      <c r="J1697" s="30"/>
      <c r="K1697" s="30"/>
      <c r="L1697" s="30"/>
      <c r="M1697" s="30"/>
      <c r="N1697" s="30"/>
      <c r="O1697" s="30"/>
      <c r="P1697" s="30"/>
      <c r="Q1697" s="30"/>
      <c r="R1697" s="30"/>
    </row>
    <row r="1699" spans="1:19" x14ac:dyDescent="0.35">
      <c r="A1699" s="30"/>
      <c r="B1699" s="30"/>
      <c r="C1699" s="30"/>
      <c r="D1699" s="30"/>
      <c r="E1699" s="30"/>
      <c r="F1699" s="30"/>
      <c r="G1699" s="30"/>
      <c r="H1699" s="30"/>
      <c r="I1699" s="30"/>
      <c r="J1699" s="30"/>
      <c r="K1699" s="30"/>
      <c r="L1699" s="30"/>
      <c r="M1699" s="30"/>
      <c r="N1699" s="30"/>
      <c r="O1699" s="30"/>
      <c r="P1699" s="30"/>
      <c r="Q1699" s="30"/>
      <c r="R1699" s="30"/>
    </row>
    <row r="1700" spans="1:19" x14ac:dyDescent="0.35">
      <c r="A1700" s="30"/>
      <c r="B1700" s="30"/>
      <c r="C1700" s="30"/>
      <c r="D1700" s="30"/>
      <c r="E1700" s="30"/>
      <c r="F1700" s="30"/>
      <c r="G1700" s="30"/>
      <c r="H1700" s="30"/>
      <c r="I1700" s="30"/>
      <c r="J1700" s="30"/>
      <c r="K1700" s="30"/>
      <c r="L1700" s="30"/>
      <c r="M1700" s="30"/>
      <c r="N1700" s="30"/>
      <c r="O1700" s="30"/>
      <c r="P1700" s="30"/>
      <c r="Q1700" s="30"/>
      <c r="R1700" s="30"/>
    </row>
    <row r="1706" spans="1:19" x14ac:dyDescent="0.35">
      <c r="A1706" s="30"/>
      <c r="B1706" s="30"/>
      <c r="C1706" s="30"/>
      <c r="D1706" s="30"/>
      <c r="E1706" s="30"/>
      <c r="F1706" s="30"/>
      <c r="G1706" s="30"/>
      <c r="H1706" s="30"/>
      <c r="I1706" s="30"/>
      <c r="J1706" s="30"/>
      <c r="K1706" s="30"/>
      <c r="L1706" s="30"/>
      <c r="M1706" s="30"/>
      <c r="N1706" s="30"/>
      <c r="O1706" s="30"/>
      <c r="P1706" s="30"/>
      <c r="Q1706" s="30"/>
      <c r="R1706" s="30"/>
      <c r="S1706" s="30"/>
    </row>
    <row r="1709" spans="1:19" x14ac:dyDescent="0.35">
      <c r="A1709" s="30"/>
      <c r="B1709" s="30"/>
      <c r="C1709" s="30"/>
      <c r="D1709" s="30"/>
      <c r="E1709" s="30"/>
      <c r="F1709" s="30"/>
      <c r="G1709" s="30"/>
      <c r="H1709" s="30"/>
      <c r="I1709" s="30"/>
      <c r="J1709" s="30"/>
      <c r="K1709" s="30"/>
      <c r="L1709" s="30"/>
      <c r="M1709" s="30"/>
      <c r="N1709" s="30"/>
      <c r="O1709" s="30"/>
      <c r="P1709" s="30"/>
      <c r="Q1709" s="30"/>
      <c r="R1709" s="30"/>
      <c r="S1709" s="30"/>
    </row>
    <row r="1710" spans="1:19" x14ac:dyDescent="0.35">
      <c r="A1710" s="30"/>
      <c r="B1710" s="30"/>
      <c r="C1710" s="30"/>
      <c r="D1710" s="30"/>
      <c r="E1710" s="30"/>
      <c r="F1710" s="30"/>
      <c r="G1710" s="30"/>
      <c r="H1710" s="30"/>
      <c r="I1710" s="30"/>
      <c r="J1710" s="30"/>
      <c r="K1710" s="30"/>
      <c r="L1710" s="30"/>
      <c r="M1710" s="30"/>
      <c r="N1710" s="30"/>
      <c r="O1710" s="30"/>
      <c r="P1710" s="30"/>
      <c r="Q1710" s="30"/>
      <c r="R1710" s="30"/>
    </row>
    <row r="1711" spans="1:19" x14ac:dyDescent="0.35">
      <c r="A1711" s="30"/>
      <c r="B1711" s="30"/>
      <c r="C1711" s="30"/>
      <c r="D1711" s="30"/>
      <c r="E1711" s="30"/>
      <c r="F1711" s="30"/>
      <c r="G1711" s="30"/>
      <c r="H1711" s="30"/>
      <c r="I1711" s="30"/>
      <c r="J1711" s="30"/>
      <c r="K1711" s="30"/>
      <c r="L1711" s="30"/>
      <c r="M1711" s="30"/>
      <c r="N1711" s="30"/>
      <c r="O1711" s="30"/>
      <c r="P1711" s="30"/>
      <c r="Q1711" s="30"/>
      <c r="R1711" s="30"/>
    </row>
    <row r="1728" spans="1:19" x14ac:dyDescent="0.35">
      <c r="A1728" s="30"/>
      <c r="B1728" s="30"/>
      <c r="C1728" s="30"/>
      <c r="D1728" s="30"/>
      <c r="E1728" s="30"/>
      <c r="F1728" s="30"/>
      <c r="G1728" s="30"/>
      <c r="H1728" s="30"/>
      <c r="I1728" s="30"/>
      <c r="J1728" s="30"/>
      <c r="K1728" s="30"/>
      <c r="O1728" s="30"/>
      <c r="P1728" s="30"/>
      <c r="Q1728" s="30"/>
      <c r="R1728" s="30"/>
      <c r="S1728" s="30"/>
    </row>
    <row r="1729" spans="1:19" x14ac:dyDescent="0.35">
      <c r="S1729" s="30"/>
    </row>
    <row r="1732" spans="1:19" x14ac:dyDescent="0.35">
      <c r="A1732" s="30"/>
      <c r="B1732" s="30"/>
      <c r="C1732" s="30"/>
      <c r="D1732" s="30"/>
      <c r="E1732" s="30"/>
      <c r="F1732" s="30"/>
      <c r="G1732" s="30"/>
      <c r="H1732" s="30"/>
      <c r="I1732" s="30"/>
      <c r="J1732" s="30"/>
      <c r="K1732" s="30"/>
      <c r="L1732" s="30"/>
      <c r="M1732" s="30"/>
      <c r="N1732" s="30"/>
      <c r="O1732" s="30"/>
      <c r="P1732" s="30"/>
      <c r="Q1732" s="30"/>
      <c r="R1732" s="30"/>
    </row>
    <row r="1736" spans="1:19" x14ac:dyDescent="0.35">
      <c r="A1736" s="30"/>
      <c r="B1736" s="30"/>
      <c r="C1736" s="30"/>
      <c r="D1736" s="30"/>
      <c r="E1736" s="30"/>
      <c r="F1736" s="30"/>
      <c r="G1736" s="30"/>
      <c r="H1736" s="30"/>
      <c r="I1736" s="30"/>
      <c r="J1736" s="30"/>
      <c r="K1736" s="30"/>
      <c r="L1736" s="30"/>
      <c r="M1736" s="30"/>
      <c r="N1736" s="30"/>
      <c r="O1736" s="30"/>
      <c r="P1736" s="30"/>
      <c r="Q1736" s="30"/>
      <c r="R1736" s="30"/>
    </row>
    <row r="1738" spans="1:19" x14ac:dyDescent="0.35">
      <c r="A1738" s="30"/>
      <c r="B1738" s="30"/>
      <c r="C1738" s="30"/>
      <c r="D1738" s="30"/>
      <c r="E1738" s="30"/>
      <c r="F1738" s="30"/>
      <c r="G1738" s="30"/>
      <c r="H1738" s="30"/>
      <c r="I1738" s="30"/>
      <c r="J1738" s="30"/>
      <c r="K1738" s="30"/>
      <c r="L1738" s="30"/>
      <c r="M1738" s="30"/>
      <c r="N1738" s="30"/>
      <c r="O1738" s="30"/>
      <c r="P1738" s="30"/>
      <c r="Q1738" s="30"/>
      <c r="R1738" s="30"/>
    </row>
    <row r="1739" spans="1:19" x14ac:dyDescent="0.35">
      <c r="A1739" s="30"/>
      <c r="B1739" s="30"/>
      <c r="C1739" s="30"/>
      <c r="D1739" s="30"/>
      <c r="E1739" s="30"/>
      <c r="F1739" s="30"/>
      <c r="G1739" s="30"/>
      <c r="H1739" s="30"/>
      <c r="I1739" s="30"/>
      <c r="J1739" s="30"/>
      <c r="K1739" s="30"/>
      <c r="O1739" s="30"/>
      <c r="P1739" s="30"/>
      <c r="Q1739" s="30"/>
      <c r="R1739" s="30"/>
    </row>
    <row r="1741" spans="1:19" x14ac:dyDescent="0.35">
      <c r="A1741" s="30"/>
      <c r="B1741" s="30"/>
      <c r="C1741" s="30"/>
      <c r="D1741" s="30"/>
      <c r="E1741" s="30"/>
      <c r="F1741" s="30"/>
      <c r="G1741" s="30"/>
      <c r="H1741" s="30"/>
      <c r="I1741" s="30"/>
      <c r="J1741" s="30"/>
      <c r="K1741" s="30"/>
      <c r="L1741" s="30"/>
      <c r="M1741" s="30"/>
      <c r="N1741" s="30"/>
      <c r="O1741" s="30"/>
      <c r="P1741" s="30"/>
      <c r="Q1741" s="30"/>
      <c r="R1741" s="30"/>
    </row>
    <row r="1742" spans="1:19" x14ac:dyDescent="0.35">
      <c r="A1742" s="30"/>
      <c r="B1742" s="30"/>
      <c r="C1742" s="30"/>
      <c r="D1742" s="30"/>
      <c r="E1742" s="30"/>
      <c r="F1742" s="30"/>
      <c r="G1742" s="30"/>
      <c r="H1742" s="30"/>
      <c r="I1742" s="30"/>
      <c r="J1742" s="30"/>
      <c r="K1742" s="30"/>
      <c r="L1742" s="30"/>
      <c r="M1742" s="30"/>
      <c r="N1742" s="30"/>
      <c r="O1742" s="30"/>
      <c r="P1742" s="30"/>
      <c r="Q1742" s="30"/>
      <c r="R1742" s="30"/>
    </row>
    <row r="1746" spans="1:19" x14ac:dyDescent="0.35">
      <c r="A1746" s="30"/>
      <c r="B1746" s="30"/>
      <c r="C1746" s="30"/>
      <c r="D1746" s="30"/>
      <c r="E1746" s="30"/>
      <c r="F1746" s="30"/>
      <c r="G1746" s="30"/>
      <c r="H1746" s="30"/>
      <c r="I1746" s="30"/>
      <c r="J1746" s="30"/>
      <c r="K1746" s="30"/>
      <c r="O1746" s="30"/>
      <c r="P1746" s="30"/>
      <c r="Q1746" s="30"/>
      <c r="R1746" s="30"/>
    </row>
    <row r="1747" spans="1:19" x14ac:dyDescent="0.35">
      <c r="A1747" s="30"/>
      <c r="B1747" s="30"/>
      <c r="C1747" s="30"/>
      <c r="D1747" s="30"/>
      <c r="E1747" s="30"/>
      <c r="F1747" s="30"/>
      <c r="G1747" s="30"/>
      <c r="H1747" s="30"/>
      <c r="I1747" s="30"/>
      <c r="J1747" s="30"/>
      <c r="K1747" s="30"/>
      <c r="L1747" s="30"/>
      <c r="M1747" s="30"/>
      <c r="N1747" s="30"/>
      <c r="O1747" s="30"/>
      <c r="P1747" s="30"/>
      <c r="Q1747" s="30"/>
      <c r="R1747" s="30"/>
    </row>
    <row r="1748" spans="1:19" x14ac:dyDescent="0.35">
      <c r="S1748" s="30"/>
    </row>
    <row r="1750" spans="1:19" x14ac:dyDescent="0.35">
      <c r="A1750" s="30"/>
      <c r="B1750" s="30"/>
      <c r="C1750" s="30"/>
      <c r="D1750" s="30"/>
      <c r="E1750" s="30"/>
      <c r="F1750" s="30"/>
      <c r="G1750" s="30"/>
      <c r="H1750" s="30"/>
      <c r="I1750" s="30"/>
      <c r="J1750" s="30"/>
      <c r="K1750" s="30"/>
      <c r="O1750" s="30"/>
      <c r="P1750" s="30"/>
      <c r="Q1750" s="30"/>
      <c r="R1750" s="30"/>
      <c r="S1750" s="30"/>
    </row>
    <row r="1751" spans="1:19" x14ac:dyDescent="0.35">
      <c r="A1751" s="30"/>
      <c r="B1751" s="30"/>
      <c r="C1751" s="30"/>
      <c r="D1751" s="30"/>
      <c r="E1751" s="30"/>
      <c r="F1751" s="30"/>
      <c r="G1751" s="30"/>
      <c r="H1751" s="30"/>
      <c r="I1751" s="30"/>
      <c r="J1751" s="30"/>
      <c r="K1751" s="30"/>
      <c r="L1751" s="30"/>
      <c r="M1751" s="30"/>
      <c r="N1751" s="30"/>
      <c r="O1751" s="30"/>
      <c r="P1751" s="30"/>
      <c r="Q1751" s="30"/>
      <c r="R1751" s="30"/>
    </row>
    <row r="1754" spans="1:19" x14ac:dyDescent="0.35">
      <c r="A1754" s="30"/>
      <c r="B1754" s="30"/>
      <c r="C1754" s="30"/>
      <c r="D1754" s="30"/>
      <c r="E1754" s="30"/>
      <c r="F1754" s="30"/>
      <c r="G1754" s="30"/>
      <c r="H1754" s="30"/>
      <c r="I1754" s="30"/>
      <c r="J1754" s="30"/>
      <c r="K1754" s="30"/>
      <c r="O1754" s="30"/>
      <c r="P1754" s="30"/>
      <c r="Q1754" s="30"/>
      <c r="R1754" s="30"/>
    </row>
    <row r="1755" spans="1:19" x14ac:dyDescent="0.35">
      <c r="A1755" s="30"/>
      <c r="B1755" s="30"/>
      <c r="C1755" s="30"/>
      <c r="D1755" s="30"/>
      <c r="E1755" s="30"/>
      <c r="F1755" s="30"/>
      <c r="G1755" s="30"/>
      <c r="H1755" s="30"/>
      <c r="I1755" s="30"/>
      <c r="J1755" s="30"/>
      <c r="K1755" s="30"/>
      <c r="L1755" s="30"/>
      <c r="M1755" s="30"/>
      <c r="N1755" s="30"/>
      <c r="O1755" s="30"/>
      <c r="P1755" s="30"/>
      <c r="Q1755" s="30"/>
      <c r="R1755" s="30"/>
    </row>
    <row r="1761" spans="1:19" x14ac:dyDescent="0.35">
      <c r="A1761" s="30"/>
      <c r="B1761" s="30"/>
      <c r="C1761" s="30"/>
      <c r="D1761" s="30"/>
      <c r="E1761" s="30"/>
      <c r="F1761" s="30"/>
      <c r="G1761" s="30"/>
      <c r="H1761" s="30"/>
      <c r="I1761" s="30"/>
      <c r="J1761" s="30"/>
      <c r="K1761" s="30"/>
      <c r="L1761" s="30"/>
      <c r="M1761" s="30"/>
      <c r="N1761" s="30"/>
      <c r="O1761" s="30"/>
      <c r="P1761" s="30"/>
      <c r="Q1761" s="30"/>
      <c r="R1761" s="30"/>
    </row>
    <row r="1765" spans="1:19" x14ac:dyDescent="0.35">
      <c r="A1765" s="30"/>
      <c r="B1765" s="30"/>
      <c r="C1765" s="30"/>
      <c r="D1765" s="30"/>
      <c r="E1765" s="30"/>
      <c r="F1765" s="30"/>
      <c r="G1765" s="30"/>
      <c r="H1765" s="30"/>
      <c r="I1765" s="30"/>
      <c r="J1765" s="30"/>
      <c r="K1765" s="30"/>
      <c r="L1765" s="30"/>
      <c r="M1765" s="30"/>
      <c r="N1765" s="30"/>
      <c r="O1765" s="30"/>
      <c r="P1765" s="30"/>
      <c r="Q1765" s="30"/>
      <c r="R1765" s="30"/>
    </row>
    <row r="1767" spans="1:19" x14ac:dyDescent="0.35">
      <c r="A1767" s="30"/>
      <c r="B1767" s="30"/>
      <c r="C1767" s="30"/>
      <c r="D1767" s="30"/>
      <c r="E1767" s="30"/>
      <c r="F1767" s="30"/>
      <c r="G1767" s="30"/>
      <c r="H1767" s="30"/>
      <c r="I1767" s="30"/>
      <c r="J1767" s="30"/>
      <c r="K1767" s="30"/>
      <c r="L1767" s="30"/>
      <c r="M1767" s="30"/>
      <c r="N1767" s="30"/>
      <c r="O1767" s="30"/>
      <c r="P1767" s="30"/>
      <c r="Q1767" s="30"/>
      <c r="R1767" s="30"/>
    </row>
    <row r="1770" spans="1:19" x14ac:dyDescent="0.35">
      <c r="A1770" s="30"/>
      <c r="B1770" s="30"/>
      <c r="C1770" s="30"/>
      <c r="D1770" s="30"/>
      <c r="E1770" s="30"/>
      <c r="F1770" s="30"/>
      <c r="G1770" s="30"/>
      <c r="H1770" s="30"/>
      <c r="I1770" s="30"/>
      <c r="J1770" s="30"/>
      <c r="K1770" s="30"/>
      <c r="L1770" s="30"/>
      <c r="M1770" s="30"/>
      <c r="N1770" s="30"/>
      <c r="O1770" s="30"/>
      <c r="P1770" s="30"/>
      <c r="Q1770" s="30"/>
      <c r="R1770" s="30"/>
      <c r="S1770" s="30"/>
    </row>
    <row r="1772" spans="1:19" x14ac:dyDescent="0.35">
      <c r="A1772" s="30"/>
      <c r="B1772" s="30"/>
      <c r="C1772" s="30"/>
      <c r="D1772" s="30"/>
      <c r="E1772" s="30"/>
      <c r="F1772" s="30"/>
      <c r="G1772" s="30"/>
      <c r="H1772" s="30"/>
      <c r="I1772" s="30"/>
      <c r="J1772" s="30"/>
      <c r="K1772" s="30"/>
      <c r="L1772" s="30"/>
      <c r="M1772" s="30"/>
      <c r="N1772" s="30"/>
      <c r="O1772" s="30"/>
      <c r="P1772" s="30"/>
      <c r="Q1772" s="30"/>
      <c r="R1772" s="30"/>
      <c r="S1772" s="30"/>
    </row>
    <row r="1776" spans="1:19" x14ac:dyDescent="0.35">
      <c r="A1776" s="30"/>
      <c r="B1776" s="30"/>
      <c r="C1776" s="30"/>
      <c r="D1776" s="30"/>
      <c r="E1776" s="30"/>
      <c r="F1776" s="30"/>
      <c r="G1776" s="30"/>
      <c r="H1776" s="30"/>
      <c r="I1776" s="30"/>
      <c r="J1776" s="30"/>
      <c r="K1776" s="30"/>
      <c r="L1776" s="30"/>
      <c r="M1776" s="30"/>
      <c r="N1776" s="30"/>
      <c r="O1776" s="30"/>
      <c r="P1776" s="30"/>
      <c r="Q1776" s="30"/>
      <c r="R1776" s="30"/>
      <c r="S1776" s="30"/>
    </row>
    <row r="1778" spans="1:18" x14ac:dyDescent="0.35">
      <c r="A1778" s="30"/>
      <c r="B1778" s="30"/>
      <c r="C1778" s="30"/>
      <c r="D1778" s="30"/>
      <c r="E1778" s="30"/>
      <c r="F1778" s="30"/>
      <c r="G1778" s="30"/>
      <c r="H1778" s="30"/>
      <c r="I1778" s="30"/>
      <c r="J1778" s="30"/>
      <c r="K1778" s="30"/>
      <c r="L1778" s="30"/>
      <c r="M1778" s="30"/>
      <c r="N1778" s="30"/>
      <c r="O1778" s="30"/>
      <c r="P1778" s="30"/>
      <c r="Q1778" s="30"/>
      <c r="R1778" s="30"/>
    </row>
    <row r="1796" spans="1:19" x14ac:dyDescent="0.35">
      <c r="A1796" s="30"/>
      <c r="B1796" s="30"/>
      <c r="C1796" s="30"/>
      <c r="D1796" s="30"/>
      <c r="E1796" s="30"/>
      <c r="F1796" s="30"/>
      <c r="G1796" s="30"/>
      <c r="H1796" s="30"/>
      <c r="I1796" s="30"/>
      <c r="J1796" s="30"/>
      <c r="K1796" s="30"/>
      <c r="L1796" s="30"/>
      <c r="M1796" s="30"/>
      <c r="N1796" s="30"/>
      <c r="O1796" s="30"/>
      <c r="P1796" s="30"/>
      <c r="Q1796" s="30"/>
      <c r="R1796" s="30"/>
      <c r="S1796" s="30"/>
    </row>
    <row r="1797" spans="1:19" x14ac:dyDescent="0.35">
      <c r="A1797" s="30"/>
      <c r="B1797" s="30"/>
      <c r="C1797" s="30"/>
      <c r="D1797" s="30"/>
      <c r="E1797" s="30"/>
      <c r="F1797" s="30"/>
      <c r="G1797" s="30"/>
      <c r="H1797" s="30"/>
      <c r="I1797" s="30"/>
      <c r="J1797" s="30"/>
      <c r="K1797" s="30"/>
      <c r="L1797" s="30"/>
      <c r="M1797" s="30"/>
      <c r="N1797" s="30"/>
      <c r="O1797" s="30"/>
      <c r="P1797" s="30"/>
      <c r="Q1797" s="30"/>
      <c r="R1797" s="30"/>
      <c r="S1797" s="30"/>
    </row>
    <row r="1802" spans="1:19" x14ac:dyDescent="0.35">
      <c r="S1802" s="20"/>
    </row>
    <row r="1803" spans="1:19" x14ac:dyDescent="0.35">
      <c r="S1803" s="20"/>
    </row>
    <row r="1804" spans="1:19" x14ac:dyDescent="0.35">
      <c r="S1804" s="20"/>
    </row>
    <row r="1805" spans="1:19" x14ac:dyDescent="0.35">
      <c r="S1805" s="20"/>
    </row>
    <row r="1806" spans="1:19" x14ac:dyDescent="0.35">
      <c r="S1806" s="20"/>
    </row>
    <row r="1807" spans="1:19" x14ac:dyDescent="0.35">
      <c r="A1807" s="30"/>
      <c r="B1807" s="30"/>
      <c r="C1807" s="30"/>
      <c r="D1807" s="30"/>
      <c r="E1807" s="30"/>
      <c r="F1807" s="30"/>
      <c r="G1807" s="30"/>
      <c r="H1807" s="30"/>
      <c r="I1807" s="30"/>
      <c r="J1807" s="30"/>
      <c r="K1807" s="30"/>
      <c r="L1807" s="30"/>
      <c r="M1807" s="30"/>
      <c r="N1807" s="30"/>
      <c r="O1807" s="30"/>
      <c r="P1807" s="30"/>
      <c r="Q1807" s="30"/>
      <c r="R1807" s="30"/>
      <c r="S1807" s="20"/>
    </row>
    <row r="1808" spans="1:19" x14ac:dyDescent="0.35">
      <c r="S1808" s="20"/>
    </row>
    <row r="1809" spans="1:19" x14ac:dyDescent="0.35">
      <c r="S1809" s="20"/>
    </row>
    <row r="1810" spans="1:19" x14ac:dyDescent="0.35">
      <c r="S1810" s="20"/>
    </row>
    <row r="1811" spans="1:19" x14ac:dyDescent="0.35">
      <c r="A1811" s="30"/>
      <c r="B1811" s="30"/>
      <c r="C1811" s="30"/>
      <c r="D1811" s="30"/>
      <c r="E1811" s="30"/>
      <c r="F1811" s="30"/>
      <c r="G1811" s="30"/>
      <c r="H1811" s="30"/>
      <c r="I1811" s="30"/>
      <c r="J1811" s="30"/>
      <c r="K1811" s="30"/>
      <c r="L1811" s="30"/>
      <c r="M1811" s="30"/>
      <c r="N1811" s="30"/>
      <c r="O1811" s="30"/>
      <c r="P1811" s="30"/>
      <c r="Q1811" s="30"/>
      <c r="R1811" s="30"/>
      <c r="S1811" s="20"/>
    </row>
    <row r="1812" spans="1:19" x14ac:dyDescent="0.35">
      <c r="A1812" s="30"/>
      <c r="B1812" s="30"/>
      <c r="C1812" s="30"/>
      <c r="D1812" s="30"/>
      <c r="E1812" s="30"/>
      <c r="F1812" s="30"/>
      <c r="G1812" s="30"/>
      <c r="H1812" s="30"/>
      <c r="I1812" s="30"/>
      <c r="J1812" s="30"/>
      <c r="K1812" s="30"/>
      <c r="L1812" s="30"/>
      <c r="M1812" s="30"/>
      <c r="N1812" s="30"/>
      <c r="O1812" s="30"/>
      <c r="P1812" s="30"/>
      <c r="Q1812" s="30"/>
      <c r="R1812" s="30"/>
      <c r="S1812" s="20"/>
    </row>
    <row r="1813" spans="1:19" x14ac:dyDescent="0.35">
      <c r="S1813" s="20"/>
    </row>
    <row r="1814" spans="1:19" x14ac:dyDescent="0.35">
      <c r="S1814" s="20"/>
    </row>
    <row r="1815" spans="1:19" x14ac:dyDescent="0.35">
      <c r="A1815" s="30"/>
      <c r="B1815" s="30"/>
      <c r="C1815" s="30"/>
      <c r="D1815" s="30"/>
      <c r="E1815" s="30"/>
      <c r="F1815" s="30"/>
      <c r="G1815" s="30"/>
      <c r="H1815" s="30"/>
      <c r="I1815" s="30"/>
      <c r="J1815" s="30"/>
      <c r="K1815" s="30"/>
      <c r="L1815" s="30"/>
      <c r="M1815" s="30"/>
      <c r="N1815" s="30"/>
      <c r="O1815" s="30"/>
      <c r="P1815" s="30"/>
      <c r="Q1815" s="30"/>
      <c r="R1815" s="30"/>
      <c r="S1815" s="18"/>
    </row>
    <row r="1816" spans="1:19" x14ac:dyDescent="0.35">
      <c r="S1816" s="20"/>
    </row>
    <row r="1817" spans="1:19" x14ac:dyDescent="0.35">
      <c r="S1817" s="20"/>
    </row>
    <row r="1818" spans="1:19" x14ac:dyDescent="0.35">
      <c r="S1818" s="20"/>
    </row>
    <row r="1819" spans="1:19" x14ac:dyDescent="0.35">
      <c r="S1819" s="20"/>
    </row>
    <row r="1820" spans="1:19" x14ac:dyDescent="0.35">
      <c r="A1820" s="30"/>
      <c r="B1820" s="30"/>
      <c r="C1820" s="30"/>
      <c r="D1820" s="30"/>
      <c r="E1820" s="30"/>
      <c r="F1820" s="30"/>
      <c r="G1820" s="30"/>
      <c r="H1820" s="30"/>
      <c r="I1820" s="30"/>
      <c r="J1820" s="30"/>
      <c r="K1820" s="30"/>
      <c r="L1820" s="30"/>
      <c r="M1820" s="30"/>
      <c r="N1820" s="30"/>
      <c r="O1820" s="30"/>
      <c r="P1820" s="30"/>
      <c r="Q1820" s="30"/>
      <c r="R1820" s="30"/>
      <c r="S1820" s="20"/>
    </row>
    <row r="1821" spans="1:19" x14ac:dyDescent="0.35">
      <c r="S1821" s="20"/>
    </row>
    <row r="1822" spans="1:19" x14ac:dyDescent="0.35">
      <c r="A1822" s="30"/>
      <c r="B1822" s="30"/>
      <c r="C1822" s="30"/>
      <c r="D1822" s="30"/>
      <c r="E1822" s="30"/>
      <c r="F1822" s="30"/>
      <c r="G1822" s="30"/>
      <c r="H1822" s="30"/>
      <c r="I1822" s="30"/>
      <c r="J1822" s="30"/>
      <c r="K1822" s="30"/>
      <c r="L1822" s="30"/>
      <c r="M1822" s="30"/>
      <c r="N1822" s="30"/>
      <c r="O1822" s="30"/>
      <c r="P1822" s="30"/>
      <c r="Q1822" s="30"/>
      <c r="R1822" s="30"/>
      <c r="S1822" s="18"/>
    </row>
    <row r="1823" spans="1:19" x14ac:dyDescent="0.35">
      <c r="S1823" s="20"/>
    </row>
    <row r="1824" spans="1:19" x14ac:dyDescent="0.35">
      <c r="A1824" s="30"/>
      <c r="B1824" s="30"/>
      <c r="C1824" s="30"/>
      <c r="D1824" s="30"/>
      <c r="E1824" s="30"/>
      <c r="F1824" s="30"/>
      <c r="G1824" s="30"/>
      <c r="H1824" s="30"/>
      <c r="I1824" s="30"/>
      <c r="J1824" s="30"/>
      <c r="K1824" s="30"/>
      <c r="L1824" s="30"/>
      <c r="M1824" s="30"/>
      <c r="N1824" s="30"/>
      <c r="O1824" s="30"/>
      <c r="P1824" s="30"/>
      <c r="Q1824" s="30"/>
      <c r="R1824" s="30"/>
      <c r="S1824" s="18"/>
    </row>
    <row r="1825" spans="1:19" x14ac:dyDescent="0.35">
      <c r="A1825" s="30"/>
      <c r="B1825" s="30"/>
      <c r="C1825" s="30"/>
      <c r="D1825" s="30"/>
      <c r="E1825" s="30"/>
      <c r="F1825" s="30"/>
      <c r="G1825" s="30"/>
      <c r="H1825" s="30"/>
      <c r="I1825" s="30"/>
      <c r="J1825" s="30"/>
      <c r="K1825" s="30"/>
      <c r="L1825" s="30"/>
      <c r="M1825" s="30"/>
      <c r="N1825" s="30"/>
      <c r="O1825" s="30"/>
      <c r="P1825" s="30"/>
      <c r="Q1825" s="30"/>
      <c r="R1825" s="30"/>
      <c r="S1825" s="20"/>
    </row>
    <row r="1826" spans="1:19" x14ac:dyDescent="0.35">
      <c r="S1826" s="20"/>
    </row>
    <row r="1827" spans="1:19" x14ac:dyDescent="0.35">
      <c r="S1827" s="20"/>
    </row>
    <row r="1828" spans="1:19" x14ac:dyDescent="0.35">
      <c r="S1828" s="20"/>
    </row>
    <row r="1829" spans="1:19" x14ac:dyDescent="0.35">
      <c r="A1829" s="30"/>
      <c r="B1829" s="30"/>
      <c r="C1829" s="30"/>
      <c r="D1829" s="30"/>
      <c r="E1829" s="30"/>
      <c r="F1829" s="30"/>
      <c r="G1829" s="30"/>
      <c r="H1829" s="30"/>
      <c r="I1829" s="30"/>
      <c r="J1829" s="30"/>
      <c r="K1829" s="30"/>
      <c r="L1829" s="30"/>
      <c r="M1829" s="30"/>
      <c r="N1829" s="30"/>
      <c r="O1829" s="30"/>
      <c r="P1829" s="30"/>
      <c r="Q1829" s="30"/>
      <c r="R1829" s="30"/>
      <c r="S1829" s="20"/>
    </row>
    <row r="1830" spans="1:19" x14ac:dyDescent="0.35">
      <c r="A1830" s="30"/>
      <c r="B1830" s="30"/>
      <c r="C1830" s="30"/>
      <c r="D1830" s="30"/>
      <c r="E1830" s="30"/>
      <c r="F1830" s="30"/>
      <c r="G1830" s="30"/>
      <c r="H1830" s="30"/>
      <c r="I1830" s="30"/>
      <c r="J1830" s="30"/>
      <c r="K1830" s="30"/>
      <c r="L1830" s="30"/>
      <c r="M1830" s="30"/>
      <c r="N1830" s="30"/>
      <c r="O1830" s="30"/>
      <c r="P1830" s="30"/>
      <c r="Q1830" s="30"/>
      <c r="R1830" s="30"/>
      <c r="S1830" s="18"/>
    </row>
    <row r="1831" spans="1:19" x14ac:dyDescent="0.35">
      <c r="S1831" s="20"/>
    </row>
    <row r="1832" spans="1:19" x14ac:dyDescent="0.35">
      <c r="S1832" s="20"/>
    </row>
    <row r="1833" spans="1:19" x14ac:dyDescent="0.35">
      <c r="S1833" s="20"/>
    </row>
    <row r="1834" spans="1:19" x14ac:dyDescent="0.35">
      <c r="S1834" s="20"/>
    </row>
    <row r="1835" spans="1:19" x14ac:dyDescent="0.35">
      <c r="S1835" s="20"/>
    </row>
    <row r="1836" spans="1:19" x14ac:dyDescent="0.35">
      <c r="S1836" s="20"/>
    </row>
    <row r="1837" spans="1:19" x14ac:dyDescent="0.35">
      <c r="S1837" s="20"/>
    </row>
    <row r="1838" spans="1:19" x14ac:dyDescent="0.35">
      <c r="S1838" s="20"/>
    </row>
    <row r="1839" spans="1:19" x14ac:dyDescent="0.35">
      <c r="S1839" s="20"/>
    </row>
    <row r="1840" spans="1:19" x14ac:dyDescent="0.35">
      <c r="A1840" s="30"/>
      <c r="B1840" s="30"/>
      <c r="C1840" s="30"/>
      <c r="D1840" s="30"/>
      <c r="E1840" s="30"/>
      <c r="F1840" s="30"/>
      <c r="G1840" s="30"/>
      <c r="H1840" s="30"/>
      <c r="I1840" s="30"/>
      <c r="J1840" s="30"/>
      <c r="K1840" s="30"/>
      <c r="L1840" s="30"/>
      <c r="M1840" s="30"/>
      <c r="N1840" s="30"/>
      <c r="O1840" s="30"/>
      <c r="P1840" s="30"/>
      <c r="Q1840" s="30"/>
      <c r="R1840" s="30"/>
      <c r="S1840" s="18"/>
    </row>
    <row r="1841" spans="1:19" x14ac:dyDescent="0.35">
      <c r="A1841" s="30"/>
      <c r="B1841" s="30"/>
      <c r="C1841" s="30"/>
      <c r="D1841" s="30"/>
      <c r="E1841" s="30"/>
      <c r="F1841" s="30"/>
      <c r="G1841" s="30"/>
      <c r="H1841" s="30"/>
      <c r="I1841" s="30"/>
      <c r="J1841" s="30"/>
      <c r="K1841" s="30"/>
      <c r="L1841" s="30"/>
      <c r="M1841" s="30"/>
      <c r="N1841" s="30"/>
      <c r="O1841" s="30"/>
      <c r="P1841" s="30"/>
      <c r="Q1841" s="30"/>
      <c r="R1841" s="30"/>
      <c r="S1841" s="20"/>
    </row>
    <row r="1842" spans="1:19" x14ac:dyDescent="0.35">
      <c r="S1842" s="20"/>
    </row>
    <row r="1843" spans="1:19" x14ac:dyDescent="0.35">
      <c r="S1843" s="20"/>
    </row>
    <row r="1844" spans="1:19" x14ac:dyDescent="0.35">
      <c r="S1844" s="20"/>
    </row>
    <row r="1845" spans="1:19" x14ac:dyDescent="0.35">
      <c r="A1845" s="30"/>
      <c r="B1845" s="30"/>
      <c r="C1845" s="30"/>
      <c r="D1845" s="30"/>
      <c r="E1845" s="30"/>
      <c r="F1845" s="30"/>
      <c r="G1845" s="30"/>
      <c r="H1845" s="30"/>
      <c r="I1845" s="30"/>
      <c r="J1845" s="30"/>
      <c r="K1845" s="30"/>
      <c r="L1845" s="30"/>
      <c r="M1845" s="30"/>
      <c r="N1845" s="30"/>
      <c r="O1845" s="30"/>
      <c r="P1845" s="30"/>
      <c r="Q1845" s="30"/>
      <c r="R1845" s="30"/>
      <c r="S1845" s="20"/>
    </row>
    <row r="1846" spans="1:19" x14ac:dyDescent="0.35">
      <c r="S1846" s="20"/>
    </row>
    <row r="1847" spans="1:19" x14ac:dyDescent="0.35">
      <c r="A1847" s="30"/>
      <c r="B1847" s="30"/>
      <c r="C1847" s="30"/>
      <c r="D1847" s="30"/>
      <c r="E1847" s="30"/>
      <c r="F1847" s="30"/>
      <c r="G1847" s="30"/>
      <c r="H1847" s="30"/>
      <c r="I1847" s="30"/>
      <c r="J1847" s="30"/>
      <c r="K1847" s="30"/>
      <c r="L1847" s="30"/>
      <c r="M1847" s="30"/>
      <c r="N1847" s="30"/>
      <c r="O1847" s="30"/>
      <c r="P1847" s="30"/>
      <c r="Q1847" s="30"/>
      <c r="R1847" s="30"/>
      <c r="S1847" s="18"/>
    </row>
    <row r="1848" spans="1:19" x14ac:dyDescent="0.35">
      <c r="S1848" s="20"/>
    </row>
    <row r="1849" spans="1:19" x14ac:dyDescent="0.35">
      <c r="S1849" s="20"/>
    </row>
    <row r="1850" spans="1:19" x14ac:dyDescent="0.35">
      <c r="S1850" s="18"/>
    </row>
    <row r="1851" spans="1:19" x14ac:dyDescent="0.35">
      <c r="S1851" s="20"/>
    </row>
    <row r="1852" spans="1:19" x14ac:dyDescent="0.35">
      <c r="S1852" s="20"/>
    </row>
    <row r="1853" spans="1:19" x14ac:dyDescent="0.35">
      <c r="A1853" s="30"/>
      <c r="B1853" s="30"/>
      <c r="C1853" s="30"/>
      <c r="D1853" s="30"/>
      <c r="E1853" s="30"/>
      <c r="F1853" s="30"/>
      <c r="G1853" s="30"/>
      <c r="H1853" s="30"/>
      <c r="I1853" s="30"/>
      <c r="J1853" s="30"/>
      <c r="K1853" s="30"/>
      <c r="L1853" s="30"/>
      <c r="M1853" s="30"/>
      <c r="N1853" s="30"/>
      <c r="O1853" s="30"/>
      <c r="P1853" s="30"/>
      <c r="Q1853" s="30"/>
      <c r="R1853" s="30"/>
      <c r="S1853" s="18"/>
    </row>
    <row r="1854" spans="1:19" x14ac:dyDescent="0.35">
      <c r="A1854" s="30"/>
      <c r="B1854" s="30"/>
      <c r="C1854" s="30"/>
      <c r="D1854" s="30"/>
      <c r="E1854" s="30"/>
      <c r="F1854" s="30"/>
      <c r="G1854" s="30"/>
      <c r="H1854" s="30"/>
      <c r="I1854" s="30"/>
      <c r="J1854" s="30"/>
      <c r="K1854" s="30"/>
      <c r="L1854" s="30"/>
      <c r="M1854" s="30"/>
      <c r="N1854" s="30"/>
      <c r="O1854" s="30"/>
      <c r="P1854" s="30"/>
      <c r="Q1854" s="30"/>
      <c r="R1854" s="30"/>
      <c r="S1854" s="20"/>
    </row>
    <row r="1855" spans="1:19" x14ac:dyDescent="0.35">
      <c r="S1855" s="20"/>
    </row>
    <row r="1856" spans="1:19" x14ac:dyDescent="0.35">
      <c r="S1856" s="20"/>
    </row>
    <row r="1857" spans="1:19" x14ac:dyDescent="0.35">
      <c r="A1857" s="30"/>
      <c r="B1857" s="30"/>
      <c r="C1857" s="30"/>
      <c r="D1857" s="30"/>
      <c r="E1857" s="30"/>
      <c r="F1857" s="30"/>
      <c r="G1857" s="30"/>
      <c r="H1857" s="30"/>
      <c r="I1857" s="30"/>
      <c r="J1857" s="30"/>
      <c r="K1857" s="30"/>
      <c r="L1857" s="30"/>
      <c r="M1857" s="30"/>
      <c r="N1857" s="30"/>
      <c r="O1857" s="30"/>
      <c r="P1857" s="30"/>
      <c r="Q1857" s="30"/>
      <c r="R1857" s="30"/>
      <c r="S1857" s="18"/>
    </row>
    <row r="1858" spans="1:19" x14ac:dyDescent="0.35">
      <c r="S1858" s="20"/>
    </row>
    <row r="1859" spans="1:19" x14ac:dyDescent="0.35">
      <c r="S1859" s="20"/>
    </row>
    <row r="1860" spans="1:19" x14ac:dyDescent="0.35">
      <c r="S1860" s="20"/>
    </row>
    <row r="1861" spans="1:19" x14ac:dyDescent="0.35">
      <c r="S1861" s="20"/>
    </row>
    <row r="1862" spans="1:19" x14ac:dyDescent="0.35">
      <c r="A1862" s="30"/>
      <c r="B1862" s="30"/>
      <c r="C1862" s="30"/>
      <c r="D1862" s="30"/>
      <c r="E1862" s="30"/>
      <c r="F1862" s="30"/>
      <c r="G1862" s="30"/>
      <c r="H1862" s="30"/>
      <c r="I1862" s="30"/>
      <c r="J1862" s="30"/>
      <c r="K1862" s="30"/>
      <c r="L1862" s="30"/>
      <c r="M1862" s="30"/>
      <c r="N1862" s="30"/>
      <c r="O1862" s="30"/>
      <c r="P1862" s="30"/>
      <c r="Q1862" s="30"/>
      <c r="R1862" s="30"/>
      <c r="S1862" s="20"/>
    </row>
    <row r="1863" spans="1:19" x14ac:dyDescent="0.35">
      <c r="S1863" s="20"/>
    </row>
    <row r="1864" spans="1:19" x14ac:dyDescent="0.35">
      <c r="S1864" s="20"/>
    </row>
    <row r="1865" spans="1:19" x14ac:dyDescent="0.35">
      <c r="S1865" s="20"/>
    </row>
    <row r="1866" spans="1:19" x14ac:dyDescent="0.35">
      <c r="S1866" s="20"/>
    </row>
    <row r="1867" spans="1:19" x14ac:dyDescent="0.35">
      <c r="S1867" s="20"/>
    </row>
    <row r="1868" spans="1:19" x14ac:dyDescent="0.35">
      <c r="S1868" s="20"/>
    </row>
    <row r="1870" spans="1:19" x14ac:dyDescent="0.35">
      <c r="A1870" s="30"/>
      <c r="B1870" s="30"/>
      <c r="C1870" s="30"/>
      <c r="D1870" s="30"/>
      <c r="E1870" s="30"/>
      <c r="F1870" s="30"/>
      <c r="G1870" s="30"/>
      <c r="H1870" s="30"/>
      <c r="I1870" s="30"/>
      <c r="J1870" s="30"/>
      <c r="K1870" s="30"/>
      <c r="L1870" s="30"/>
      <c r="M1870" s="30"/>
      <c r="N1870" s="30"/>
      <c r="O1870" s="30"/>
      <c r="P1870" s="30"/>
      <c r="Q1870" s="30"/>
      <c r="R1870" s="30"/>
    </row>
    <row r="1872" spans="1:19" x14ac:dyDescent="0.35">
      <c r="A1872" s="30"/>
      <c r="B1872" s="30"/>
      <c r="C1872" s="30"/>
      <c r="D1872" s="30"/>
      <c r="E1872" s="30"/>
      <c r="F1872" s="30"/>
      <c r="G1872" s="30"/>
      <c r="H1872" s="30"/>
      <c r="I1872" s="30"/>
      <c r="J1872" s="30"/>
      <c r="K1872" s="30"/>
      <c r="L1872" s="30"/>
      <c r="M1872" s="30"/>
      <c r="N1872" s="30"/>
      <c r="O1872" s="30"/>
      <c r="P1872" s="30"/>
      <c r="Q1872" s="30"/>
      <c r="R1872" s="30"/>
    </row>
    <row r="1875" spans="1:18" x14ac:dyDescent="0.35">
      <c r="A1875" s="30"/>
      <c r="B1875" s="30"/>
      <c r="C1875" s="30"/>
      <c r="D1875" s="30"/>
      <c r="E1875" s="30"/>
      <c r="F1875" s="30"/>
      <c r="G1875" s="30"/>
      <c r="H1875" s="30"/>
      <c r="I1875" s="30"/>
      <c r="J1875" s="30"/>
      <c r="K1875" s="30"/>
      <c r="L1875" s="30"/>
      <c r="M1875" s="30"/>
      <c r="N1875" s="30"/>
      <c r="O1875" s="30"/>
      <c r="P1875" s="30"/>
      <c r="Q1875" s="30"/>
      <c r="R1875" s="30"/>
    </row>
    <row r="1880" spans="1:18" x14ac:dyDescent="0.35">
      <c r="A1880" s="30"/>
      <c r="B1880" s="30"/>
      <c r="C1880" s="30"/>
      <c r="D1880" s="30"/>
      <c r="E1880" s="30"/>
      <c r="F1880" s="30"/>
      <c r="G1880" s="30"/>
      <c r="H1880" s="30"/>
      <c r="I1880" s="30"/>
      <c r="J1880" s="30"/>
      <c r="K1880" s="30"/>
      <c r="L1880" s="30"/>
      <c r="M1880" s="30"/>
      <c r="N1880" s="30"/>
      <c r="O1880" s="30"/>
      <c r="P1880" s="30"/>
      <c r="Q1880" s="30"/>
      <c r="R1880" s="30"/>
    </row>
    <row r="1881" spans="1:18" x14ac:dyDescent="0.35">
      <c r="A1881" s="30"/>
      <c r="B1881" s="30"/>
      <c r="C1881" s="30"/>
      <c r="D1881" s="30"/>
      <c r="E1881" s="30"/>
      <c r="F1881" s="30"/>
      <c r="G1881" s="30"/>
      <c r="H1881" s="30"/>
      <c r="I1881" s="30"/>
      <c r="J1881" s="30"/>
      <c r="K1881" s="30"/>
      <c r="L1881" s="30"/>
      <c r="M1881" s="30"/>
      <c r="N1881" s="30"/>
      <c r="O1881" s="30"/>
      <c r="P1881" s="30"/>
      <c r="Q1881" s="30"/>
      <c r="R1881" s="30"/>
    </row>
    <row r="1883" spans="1:18" x14ac:dyDescent="0.35">
      <c r="A1883" s="30"/>
      <c r="B1883" s="30"/>
      <c r="C1883" s="30"/>
      <c r="D1883" s="30"/>
      <c r="E1883" s="30"/>
      <c r="F1883" s="30"/>
      <c r="G1883" s="30"/>
      <c r="H1883" s="30"/>
      <c r="I1883" s="30"/>
      <c r="J1883" s="30"/>
      <c r="K1883" s="30"/>
      <c r="L1883" s="30"/>
      <c r="M1883" s="30"/>
      <c r="N1883" s="30"/>
      <c r="O1883" s="30"/>
      <c r="P1883" s="30"/>
      <c r="Q1883" s="30"/>
      <c r="R1883" s="30"/>
    </row>
    <row r="1885" spans="1:18" x14ac:dyDescent="0.35">
      <c r="A1885" s="30"/>
      <c r="B1885" s="30"/>
      <c r="C1885" s="30"/>
      <c r="D1885" s="30"/>
      <c r="E1885" s="30"/>
      <c r="F1885" s="30"/>
      <c r="G1885" s="30"/>
      <c r="H1885" s="30"/>
      <c r="I1885" s="30"/>
      <c r="J1885" s="30"/>
      <c r="K1885" s="30"/>
      <c r="L1885" s="30"/>
      <c r="M1885" s="30"/>
      <c r="N1885" s="30"/>
      <c r="O1885" s="30"/>
      <c r="P1885" s="30"/>
      <c r="Q1885" s="30"/>
      <c r="R1885" s="30"/>
    </row>
    <row r="1887" spans="1:18" x14ac:dyDescent="0.35">
      <c r="A1887" s="30"/>
      <c r="B1887" s="30"/>
      <c r="C1887" s="30"/>
      <c r="D1887" s="30"/>
      <c r="E1887" s="30"/>
      <c r="F1887" s="30"/>
      <c r="G1887" s="30"/>
      <c r="H1887" s="30"/>
      <c r="I1887" s="30"/>
      <c r="J1887" s="30"/>
      <c r="K1887" s="30"/>
      <c r="L1887" s="30"/>
      <c r="M1887" s="30"/>
      <c r="N1887" s="30"/>
      <c r="O1887" s="30"/>
      <c r="P1887" s="30"/>
      <c r="Q1887" s="30"/>
      <c r="R1887" s="30"/>
    </row>
    <row r="1889" spans="1:19" x14ac:dyDescent="0.35">
      <c r="A1889" s="30"/>
      <c r="B1889" s="30"/>
      <c r="C1889" s="30"/>
      <c r="D1889" s="30"/>
      <c r="E1889" s="30"/>
      <c r="F1889" s="30"/>
      <c r="G1889" s="30"/>
      <c r="H1889" s="30"/>
      <c r="I1889" s="30"/>
      <c r="J1889" s="30"/>
      <c r="K1889" s="30"/>
      <c r="L1889" s="30"/>
      <c r="M1889" s="30"/>
      <c r="N1889" s="30"/>
      <c r="O1889" s="30"/>
      <c r="P1889" s="30"/>
      <c r="Q1889" s="30"/>
      <c r="R1889" s="30"/>
      <c r="S1889" s="30"/>
    </row>
    <row r="1897" spans="1:19" x14ac:dyDescent="0.35">
      <c r="A1897" s="30"/>
      <c r="B1897" s="30"/>
      <c r="C1897" s="30"/>
      <c r="D1897" s="30"/>
      <c r="E1897" s="30"/>
      <c r="F1897" s="30"/>
      <c r="G1897" s="30"/>
      <c r="H1897" s="30"/>
      <c r="I1897" s="30"/>
      <c r="J1897" s="30"/>
      <c r="K1897" s="30"/>
      <c r="L1897" s="30"/>
      <c r="M1897" s="30"/>
      <c r="N1897" s="30"/>
      <c r="O1897" s="30"/>
      <c r="P1897" s="30"/>
      <c r="Q1897" s="30"/>
      <c r="R1897" s="30"/>
      <c r="S1897" s="30"/>
    </row>
    <row r="1900" spans="1:19" x14ac:dyDescent="0.35">
      <c r="A1900" s="30"/>
      <c r="B1900" s="30"/>
      <c r="C1900" s="30"/>
      <c r="D1900" s="30"/>
      <c r="E1900" s="30"/>
      <c r="F1900" s="30"/>
      <c r="G1900" s="30"/>
      <c r="H1900" s="30"/>
      <c r="I1900" s="30"/>
      <c r="J1900" s="30"/>
      <c r="K1900" s="30"/>
      <c r="L1900" s="30"/>
      <c r="M1900" s="30"/>
      <c r="N1900" s="30"/>
      <c r="O1900" s="30"/>
      <c r="P1900" s="30"/>
      <c r="Q1900" s="30"/>
      <c r="R1900" s="30"/>
      <c r="S1900" s="30"/>
    </row>
    <row r="1901" spans="1:19" x14ac:dyDescent="0.35">
      <c r="A1901" s="30"/>
      <c r="B1901" s="30"/>
      <c r="C1901" s="30"/>
      <c r="D1901" s="30"/>
      <c r="E1901" s="30"/>
      <c r="F1901" s="30"/>
      <c r="G1901" s="30"/>
      <c r="H1901" s="30"/>
      <c r="I1901" s="30"/>
      <c r="J1901" s="30"/>
      <c r="K1901" s="30"/>
      <c r="L1901" s="30"/>
      <c r="M1901" s="30"/>
      <c r="N1901" s="30"/>
      <c r="O1901" s="30"/>
      <c r="P1901" s="30"/>
      <c r="Q1901" s="30"/>
      <c r="R1901" s="30"/>
      <c r="S1901" s="30"/>
    </row>
    <row r="1903" spans="1:19" x14ac:dyDescent="0.35">
      <c r="A1903" s="30"/>
      <c r="B1903" s="30"/>
      <c r="C1903" s="30"/>
      <c r="D1903" s="30"/>
      <c r="E1903" s="30"/>
      <c r="F1903" s="30"/>
      <c r="G1903" s="30"/>
      <c r="H1903" s="30"/>
      <c r="I1903" s="30"/>
      <c r="J1903" s="30"/>
      <c r="K1903" s="30"/>
      <c r="L1903" s="30"/>
      <c r="M1903" s="30"/>
      <c r="N1903" s="30"/>
      <c r="O1903" s="30"/>
      <c r="P1903" s="30"/>
      <c r="Q1903" s="30"/>
      <c r="R1903" s="30"/>
    </row>
    <row r="1904" spans="1:19" x14ac:dyDescent="0.35">
      <c r="A1904" s="30"/>
      <c r="B1904" s="30"/>
      <c r="C1904" s="30"/>
      <c r="D1904" s="30"/>
      <c r="E1904" s="30"/>
      <c r="F1904" s="30"/>
      <c r="G1904" s="30"/>
      <c r="H1904" s="30"/>
      <c r="I1904" s="30"/>
      <c r="J1904" s="30"/>
      <c r="K1904" s="30"/>
      <c r="O1904" s="30"/>
      <c r="P1904" s="30"/>
      <c r="Q1904" s="30"/>
      <c r="R1904" s="30"/>
      <c r="S1904" s="30"/>
    </row>
    <row r="1907" spans="1:19" x14ac:dyDescent="0.35">
      <c r="A1907" s="30"/>
      <c r="B1907" s="30"/>
      <c r="C1907" s="30"/>
      <c r="D1907" s="30"/>
      <c r="E1907" s="30"/>
      <c r="F1907" s="30"/>
      <c r="G1907" s="30"/>
      <c r="H1907" s="30"/>
      <c r="I1907" s="30"/>
      <c r="J1907" s="30"/>
      <c r="K1907" s="30"/>
      <c r="L1907" s="30"/>
      <c r="M1907" s="30"/>
      <c r="N1907" s="30"/>
      <c r="O1907" s="30"/>
      <c r="P1907" s="30"/>
      <c r="Q1907" s="30"/>
      <c r="R1907" s="30"/>
    </row>
    <row r="1913" spans="1:19" x14ac:dyDescent="0.35">
      <c r="A1913" s="30"/>
      <c r="B1913" s="30"/>
      <c r="C1913" s="30"/>
      <c r="D1913" s="30"/>
      <c r="E1913" s="30"/>
      <c r="F1913" s="30"/>
      <c r="G1913" s="30"/>
      <c r="H1913" s="30"/>
      <c r="I1913" s="30"/>
      <c r="J1913" s="30"/>
      <c r="K1913" s="30"/>
      <c r="L1913" s="30"/>
      <c r="M1913" s="30"/>
      <c r="N1913" s="30"/>
      <c r="O1913" s="30"/>
      <c r="P1913" s="30"/>
      <c r="Q1913" s="30"/>
      <c r="R1913" s="30"/>
    </row>
    <row r="1917" spans="1:19" x14ac:dyDescent="0.35">
      <c r="A1917" s="30"/>
      <c r="B1917" s="30"/>
      <c r="C1917" s="30"/>
      <c r="D1917" s="30"/>
      <c r="E1917" s="30"/>
      <c r="F1917" s="30"/>
      <c r="G1917" s="30"/>
      <c r="H1917" s="30"/>
      <c r="I1917" s="30"/>
      <c r="J1917" s="30"/>
      <c r="K1917" s="30"/>
      <c r="L1917" s="30"/>
      <c r="M1917" s="30"/>
      <c r="N1917" s="30"/>
      <c r="O1917" s="30"/>
      <c r="P1917" s="30"/>
      <c r="Q1917" s="30"/>
      <c r="R1917" s="30"/>
      <c r="S1917" s="30"/>
    </row>
    <row r="1918" spans="1:19" x14ac:dyDescent="0.35">
      <c r="A1918" s="30"/>
      <c r="B1918" s="30"/>
      <c r="C1918" s="30"/>
      <c r="D1918" s="30"/>
      <c r="E1918" s="30"/>
      <c r="F1918" s="30"/>
      <c r="G1918" s="30"/>
      <c r="H1918" s="30"/>
      <c r="I1918" s="30"/>
      <c r="J1918" s="30"/>
      <c r="K1918" s="30"/>
      <c r="L1918" s="30"/>
      <c r="M1918" s="30"/>
      <c r="N1918" s="30"/>
      <c r="O1918" s="30"/>
      <c r="P1918" s="30"/>
      <c r="Q1918" s="30"/>
      <c r="R1918" s="30"/>
    </row>
    <row r="1923" spans="1:19" x14ac:dyDescent="0.35">
      <c r="A1923" s="30"/>
      <c r="B1923" s="30"/>
      <c r="C1923" s="30"/>
      <c r="D1923" s="30"/>
      <c r="E1923" s="30"/>
      <c r="F1923" s="30"/>
      <c r="G1923" s="30"/>
      <c r="H1923" s="30"/>
      <c r="I1923" s="30"/>
      <c r="J1923" s="30"/>
      <c r="K1923" s="30"/>
      <c r="L1923" s="30"/>
      <c r="M1923" s="30"/>
      <c r="N1923" s="30"/>
      <c r="O1923" s="30"/>
      <c r="P1923" s="30"/>
      <c r="Q1923" s="30"/>
      <c r="R1923" s="30"/>
    </row>
    <row r="1924" spans="1:19" x14ac:dyDescent="0.35">
      <c r="A1924" s="30"/>
      <c r="B1924" s="30"/>
      <c r="C1924" s="30"/>
      <c r="D1924" s="30"/>
      <c r="E1924" s="30"/>
      <c r="F1924" s="30"/>
      <c r="G1924" s="30"/>
      <c r="H1924" s="30"/>
      <c r="I1924" s="30"/>
      <c r="J1924" s="30"/>
      <c r="K1924" s="30"/>
      <c r="L1924" s="30"/>
      <c r="M1924" s="30"/>
      <c r="N1924" s="30"/>
      <c r="O1924" s="30"/>
      <c r="P1924" s="30"/>
      <c r="Q1924" s="30"/>
      <c r="R1924" s="30"/>
    </row>
    <row r="1925" spans="1:19" x14ac:dyDescent="0.35">
      <c r="A1925" s="30"/>
      <c r="B1925" s="30"/>
      <c r="C1925" s="30"/>
      <c r="D1925" s="30"/>
      <c r="E1925" s="30"/>
      <c r="F1925" s="30"/>
      <c r="G1925" s="30"/>
      <c r="H1925" s="30"/>
      <c r="I1925" s="30"/>
      <c r="J1925" s="30"/>
      <c r="K1925" s="30"/>
      <c r="L1925" s="30"/>
      <c r="M1925" s="30"/>
      <c r="N1925" s="30"/>
      <c r="O1925" s="30"/>
      <c r="P1925" s="30"/>
      <c r="Q1925" s="30"/>
      <c r="R1925" s="30"/>
    </row>
    <row r="1928" spans="1:19" x14ac:dyDescent="0.35">
      <c r="A1928" s="30"/>
      <c r="B1928" s="30"/>
      <c r="C1928" s="30"/>
      <c r="D1928" s="30"/>
      <c r="E1928" s="30"/>
      <c r="F1928" s="30"/>
      <c r="G1928" s="30"/>
      <c r="H1928" s="30"/>
      <c r="I1928" s="30"/>
      <c r="J1928" s="30"/>
      <c r="K1928" s="30"/>
      <c r="L1928" s="30"/>
      <c r="M1928" s="30"/>
      <c r="N1928" s="30"/>
      <c r="O1928" s="30"/>
      <c r="P1928" s="30"/>
      <c r="Q1928" s="30"/>
      <c r="R1928" s="30"/>
    </row>
    <row r="1935" spans="1:19" x14ac:dyDescent="0.35">
      <c r="A1935" s="30"/>
      <c r="B1935" s="30"/>
      <c r="C1935" s="30"/>
      <c r="D1935" s="30"/>
      <c r="E1935" s="30"/>
      <c r="F1935" s="30"/>
      <c r="G1935" s="30"/>
      <c r="H1935" s="30"/>
      <c r="I1935" s="30"/>
      <c r="J1935" s="30"/>
      <c r="K1935" s="30"/>
      <c r="L1935" s="30"/>
      <c r="M1935" s="30"/>
      <c r="N1935" s="30"/>
      <c r="O1935" s="30"/>
      <c r="P1935" s="30"/>
      <c r="Q1935" s="30"/>
      <c r="R1935" s="30"/>
      <c r="S1935" s="30"/>
    </row>
    <row r="1936" spans="1:19" x14ac:dyDescent="0.35">
      <c r="A1936" s="30"/>
      <c r="B1936" s="30"/>
      <c r="C1936" s="30"/>
      <c r="D1936" s="30"/>
      <c r="E1936" s="30"/>
      <c r="F1936" s="30"/>
      <c r="G1936" s="30"/>
      <c r="H1936" s="30"/>
      <c r="I1936" s="30"/>
      <c r="J1936" s="30"/>
      <c r="K1936" s="30"/>
      <c r="L1936" s="30"/>
      <c r="M1936" s="30"/>
      <c r="N1936" s="30"/>
      <c r="O1936" s="30"/>
      <c r="P1936" s="30"/>
      <c r="Q1936" s="30"/>
      <c r="R1936" s="30"/>
    </row>
    <row r="1939" spans="1:19" x14ac:dyDescent="0.35">
      <c r="A1939" s="30"/>
      <c r="B1939" s="30"/>
      <c r="C1939" s="30"/>
      <c r="D1939" s="30"/>
      <c r="E1939" s="30"/>
      <c r="F1939" s="30"/>
      <c r="G1939" s="30"/>
      <c r="H1939" s="30"/>
      <c r="I1939" s="30"/>
      <c r="J1939" s="30"/>
      <c r="K1939" s="30"/>
      <c r="L1939" s="30"/>
      <c r="M1939" s="30"/>
      <c r="N1939" s="30"/>
      <c r="O1939" s="30"/>
      <c r="P1939" s="30"/>
      <c r="Q1939" s="30"/>
      <c r="R1939" s="30"/>
    </row>
    <row r="1940" spans="1:19" x14ac:dyDescent="0.35">
      <c r="A1940" s="30"/>
      <c r="B1940" s="30"/>
      <c r="C1940" s="30"/>
      <c r="D1940" s="30"/>
      <c r="E1940" s="30"/>
      <c r="F1940" s="30"/>
      <c r="G1940" s="30"/>
      <c r="H1940" s="30"/>
      <c r="I1940" s="30"/>
      <c r="J1940" s="30"/>
      <c r="K1940" s="30"/>
      <c r="L1940" s="30"/>
      <c r="M1940" s="30"/>
      <c r="N1940" s="30"/>
      <c r="O1940" s="30"/>
      <c r="P1940" s="30"/>
      <c r="Q1940" s="30"/>
      <c r="R1940" s="30"/>
      <c r="S1940" s="30"/>
    </row>
    <row r="1941" spans="1:19" x14ac:dyDescent="0.35">
      <c r="A1941" s="30"/>
      <c r="B1941" s="30"/>
      <c r="C1941" s="30"/>
      <c r="D1941" s="30"/>
      <c r="E1941" s="30"/>
      <c r="F1941" s="30"/>
      <c r="G1941" s="30"/>
      <c r="H1941" s="30"/>
      <c r="I1941" s="30"/>
      <c r="J1941" s="30"/>
      <c r="K1941" s="30"/>
      <c r="L1941" s="30"/>
      <c r="M1941" s="30"/>
      <c r="N1941" s="30"/>
      <c r="O1941" s="30"/>
      <c r="P1941" s="30"/>
      <c r="Q1941" s="30"/>
      <c r="R1941" s="30"/>
    </row>
    <row r="1942" spans="1:19" x14ac:dyDescent="0.35">
      <c r="A1942" s="30"/>
    </row>
    <row r="1943" spans="1:19" x14ac:dyDescent="0.35">
      <c r="A1943" s="30"/>
      <c r="B1943" s="30"/>
      <c r="C1943" s="30"/>
      <c r="D1943" s="30"/>
      <c r="E1943" s="30"/>
      <c r="F1943" s="30"/>
      <c r="G1943" s="30"/>
      <c r="H1943" s="30"/>
      <c r="I1943" s="30"/>
      <c r="J1943" s="30"/>
      <c r="K1943" s="30"/>
      <c r="P1943" s="30"/>
      <c r="Q1943" s="30"/>
      <c r="R1943" s="30"/>
    </row>
    <row r="1944" spans="1:19" x14ac:dyDescent="0.35">
      <c r="A1944" s="30"/>
    </row>
    <row r="1945" spans="1:19" x14ac:dyDescent="0.35">
      <c r="A1945" s="30"/>
    </row>
    <row r="1946" spans="1:19" x14ac:dyDescent="0.35">
      <c r="A1946" s="30"/>
      <c r="B1946" s="30"/>
      <c r="C1946" s="30"/>
      <c r="D1946" s="30"/>
      <c r="E1946" s="30"/>
      <c r="F1946" s="30"/>
      <c r="G1946" s="30"/>
      <c r="H1946" s="30"/>
      <c r="I1946" s="30"/>
      <c r="J1946" s="30"/>
      <c r="K1946" s="30"/>
      <c r="O1946" s="30"/>
      <c r="P1946" s="30"/>
      <c r="Q1946" s="30"/>
      <c r="R1946" s="30"/>
    </row>
    <row r="1947" spans="1:19" x14ac:dyDescent="0.35">
      <c r="A1947" s="30"/>
      <c r="S1947" s="30"/>
    </row>
    <row r="1948" spans="1:19" x14ac:dyDescent="0.35">
      <c r="A1948" s="30"/>
      <c r="B1948" s="30"/>
      <c r="C1948" s="30"/>
      <c r="D1948" s="30"/>
      <c r="E1948" s="30"/>
      <c r="F1948" s="30"/>
      <c r="G1948" s="30"/>
      <c r="H1948" s="30"/>
      <c r="I1948" s="30"/>
      <c r="J1948" s="30"/>
      <c r="K1948" s="30"/>
      <c r="O1948" s="30"/>
      <c r="P1948" s="30"/>
      <c r="Q1948" s="30"/>
      <c r="R1948" s="30"/>
    </row>
    <row r="1950" spans="1:19" x14ac:dyDescent="0.35">
      <c r="B1950" s="30"/>
      <c r="C1950" s="30"/>
      <c r="D1950" s="30"/>
      <c r="E1950" s="30"/>
      <c r="F1950" s="30"/>
      <c r="G1950" s="30"/>
      <c r="H1950" s="30"/>
      <c r="I1950" s="30"/>
      <c r="J1950" s="30"/>
      <c r="K1950" s="30"/>
      <c r="L1950" s="30"/>
      <c r="M1950" s="30"/>
      <c r="N1950" s="30"/>
      <c r="O1950" s="30"/>
      <c r="P1950" s="30"/>
      <c r="Q1950" s="30"/>
      <c r="R1950" s="30"/>
    </row>
    <row r="1952" spans="1:19" x14ac:dyDescent="0.35">
      <c r="B1952" s="30"/>
      <c r="C1952" s="30"/>
      <c r="D1952" s="30"/>
      <c r="E1952" s="30"/>
      <c r="F1952" s="30"/>
      <c r="G1952" s="30"/>
      <c r="H1952" s="30"/>
      <c r="I1952" s="30"/>
      <c r="J1952" s="30"/>
      <c r="K1952" s="30"/>
      <c r="L1952" s="30"/>
      <c r="M1952" s="30"/>
      <c r="N1952" s="30"/>
      <c r="O1952" s="30"/>
      <c r="P1952" s="30"/>
      <c r="Q1952" s="30"/>
      <c r="R1952" s="30"/>
    </row>
    <row r="1954" spans="2:19" x14ac:dyDescent="0.35">
      <c r="B1954" s="30"/>
      <c r="C1954" s="30"/>
      <c r="D1954" s="30"/>
      <c r="E1954" s="30"/>
      <c r="F1954" s="30"/>
      <c r="G1954" s="30"/>
      <c r="H1954" s="30"/>
      <c r="I1954" s="30"/>
      <c r="J1954" s="30"/>
      <c r="K1954" s="30"/>
      <c r="L1954" s="30"/>
      <c r="M1954" s="30"/>
      <c r="N1954" s="30"/>
      <c r="O1954" s="30"/>
      <c r="P1954" s="30"/>
      <c r="Q1954" s="30"/>
      <c r="R1954" s="30"/>
    </row>
    <row r="1956" spans="2:19" x14ac:dyDescent="0.35">
      <c r="B1956" s="30"/>
      <c r="C1956" s="30"/>
      <c r="D1956" s="30"/>
      <c r="E1956" s="30"/>
      <c r="F1956" s="30"/>
      <c r="G1956" s="30"/>
      <c r="H1956" s="30"/>
      <c r="I1956" s="30"/>
      <c r="J1956" s="30"/>
      <c r="K1956" s="30"/>
      <c r="L1956" s="30"/>
      <c r="M1956" s="30"/>
      <c r="N1956" s="30"/>
      <c r="O1956" s="30"/>
      <c r="P1956" s="30"/>
      <c r="Q1956" s="30"/>
      <c r="R1956" s="30"/>
    </row>
    <row r="1957" spans="2:19" x14ac:dyDescent="0.35">
      <c r="B1957" s="30"/>
      <c r="C1957" s="30"/>
      <c r="D1957" s="30"/>
      <c r="E1957" s="30"/>
      <c r="F1957" s="30"/>
      <c r="G1957" s="30"/>
      <c r="H1957" s="30"/>
      <c r="I1957" s="30"/>
      <c r="J1957" s="30"/>
      <c r="K1957" s="30"/>
      <c r="L1957" s="30"/>
      <c r="M1957" s="30"/>
      <c r="N1957" s="30"/>
      <c r="O1957" s="30"/>
      <c r="P1957" s="30"/>
      <c r="Q1957" s="30"/>
      <c r="R1957" s="30"/>
      <c r="S1957" s="30"/>
    </row>
    <row r="1960" spans="2:19" x14ac:dyDescent="0.35">
      <c r="B1960" s="30"/>
      <c r="C1960" s="30"/>
      <c r="D1960" s="30"/>
      <c r="E1960" s="30"/>
      <c r="F1960" s="30"/>
      <c r="G1960" s="30"/>
      <c r="H1960" s="30"/>
      <c r="I1960" s="30"/>
      <c r="J1960" s="30"/>
      <c r="K1960" s="30"/>
      <c r="L1960" s="30"/>
      <c r="M1960" s="30"/>
      <c r="N1960" s="30"/>
      <c r="O1960" s="30"/>
      <c r="P1960" s="30"/>
      <c r="Q1960" s="30"/>
      <c r="R1960" s="30"/>
    </row>
    <row r="1962" spans="2:19" x14ac:dyDescent="0.35">
      <c r="B1962" s="30"/>
      <c r="C1962" s="30"/>
      <c r="D1962" s="30"/>
      <c r="E1962" s="30"/>
      <c r="F1962" s="30"/>
      <c r="G1962" s="30"/>
      <c r="H1962" s="30"/>
      <c r="I1962" s="30"/>
      <c r="J1962" s="30"/>
      <c r="K1962" s="30"/>
      <c r="L1962" s="30"/>
      <c r="M1962" s="30"/>
      <c r="N1962" s="30"/>
      <c r="O1962" s="30"/>
      <c r="P1962" s="30"/>
      <c r="Q1962" s="30"/>
      <c r="R1962" s="30"/>
      <c r="S1962" s="30"/>
    </row>
    <row r="1963" spans="2:19" x14ac:dyDescent="0.35">
      <c r="B1963" s="30"/>
      <c r="C1963" s="30"/>
      <c r="D1963" s="30"/>
      <c r="E1963" s="30"/>
      <c r="F1963" s="30"/>
      <c r="G1963" s="30"/>
      <c r="H1963" s="30"/>
      <c r="I1963" s="30"/>
      <c r="J1963" s="30"/>
      <c r="K1963" s="30"/>
      <c r="L1963" s="30"/>
      <c r="M1963" s="30"/>
      <c r="N1963" s="30"/>
      <c r="O1963" s="30"/>
      <c r="P1963" s="30"/>
      <c r="Q1963" s="30"/>
      <c r="R1963" s="30"/>
      <c r="S1963" s="30"/>
    </row>
    <row r="1967" spans="2:19" x14ac:dyDescent="0.35">
      <c r="B1967" s="30"/>
      <c r="C1967" s="30"/>
      <c r="D1967" s="30"/>
      <c r="E1967" s="30"/>
      <c r="F1967" s="30"/>
      <c r="G1967" s="30"/>
      <c r="H1967" s="30"/>
      <c r="I1967" s="30"/>
      <c r="J1967" s="30"/>
      <c r="K1967" s="30"/>
      <c r="L1967" s="30"/>
      <c r="M1967" s="30"/>
      <c r="N1967" s="30"/>
      <c r="O1967" s="30"/>
      <c r="P1967" s="30"/>
      <c r="Q1967" s="30"/>
      <c r="R1967" s="30"/>
    </row>
    <row r="1978" spans="19:19" x14ac:dyDescent="0.35">
      <c r="S1978" s="30"/>
    </row>
    <row r="1980" spans="19:19" x14ac:dyDescent="0.35">
      <c r="S1980" s="30"/>
    </row>
    <row r="1982" spans="19:19" x14ac:dyDescent="0.35">
      <c r="S1982" s="30"/>
    </row>
    <row r="1988" spans="1:19" x14ac:dyDescent="0.35">
      <c r="A1988" s="30"/>
      <c r="B1988" s="30"/>
      <c r="C1988" s="30"/>
      <c r="D1988" s="30"/>
      <c r="E1988" s="30"/>
      <c r="F1988" s="30"/>
      <c r="G1988" s="30"/>
      <c r="H1988" s="30"/>
      <c r="I1988" s="30"/>
      <c r="J1988" s="30"/>
      <c r="K1988" s="30"/>
      <c r="L1988" s="30"/>
      <c r="M1988" s="30"/>
      <c r="N1988" s="30"/>
      <c r="O1988" s="30"/>
      <c r="P1988" s="30"/>
      <c r="Q1988" s="30"/>
      <c r="R1988" s="30"/>
    </row>
    <row r="1989" spans="1:19" x14ac:dyDescent="0.35">
      <c r="A1989" s="30"/>
      <c r="B1989" s="30"/>
      <c r="C1989" s="30"/>
      <c r="D1989" s="30"/>
      <c r="E1989" s="30"/>
      <c r="F1989" s="30"/>
      <c r="G1989" s="30"/>
      <c r="H1989" s="30"/>
      <c r="I1989" s="30"/>
      <c r="J1989" s="30"/>
      <c r="K1989" s="30"/>
      <c r="L1989" s="30"/>
      <c r="M1989" s="30"/>
      <c r="N1989" s="30"/>
      <c r="O1989" s="30"/>
      <c r="P1989" s="30"/>
      <c r="Q1989" s="30"/>
      <c r="R1989" s="30"/>
    </row>
    <row r="1990" spans="1:19" x14ac:dyDescent="0.35">
      <c r="A1990" s="30"/>
    </row>
    <row r="1991" spans="1:19" x14ac:dyDescent="0.35">
      <c r="A1991" s="30"/>
      <c r="B1991" s="30"/>
      <c r="C1991" s="30"/>
      <c r="D1991" s="30"/>
      <c r="E1991" s="30"/>
      <c r="F1991" s="30"/>
      <c r="G1991" s="30"/>
      <c r="H1991" s="30"/>
      <c r="I1991" s="30"/>
      <c r="J1991" s="30"/>
      <c r="K1991" s="30"/>
      <c r="L1991" s="30"/>
      <c r="M1991" s="30"/>
      <c r="N1991" s="30"/>
      <c r="O1991" s="30"/>
      <c r="P1991" s="30"/>
      <c r="Q1991" s="30"/>
      <c r="R1991" s="30"/>
      <c r="S1991" s="30"/>
    </row>
    <row r="1992" spans="1:19" x14ac:dyDescent="0.35">
      <c r="A1992" s="30"/>
      <c r="B1992" s="30"/>
      <c r="C1992" s="30"/>
      <c r="D1992" s="30"/>
      <c r="E1992" s="30"/>
      <c r="F1992" s="30"/>
      <c r="G1992" s="30"/>
      <c r="H1992" s="30"/>
      <c r="I1992" s="30"/>
      <c r="J1992" s="30"/>
      <c r="K1992" s="30"/>
      <c r="L1992" s="30"/>
      <c r="M1992" s="30"/>
      <c r="N1992" s="30"/>
      <c r="O1992" s="30"/>
      <c r="P1992" s="30"/>
      <c r="Q1992" s="30"/>
      <c r="R1992" s="30"/>
      <c r="S1992" s="30"/>
    </row>
    <row r="1993" spans="1:19" x14ac:dyDescent="0.35">
      <c r="A1993" s="30"/>
      <c r="B1993" s="30"/>
      <c r="C1993" s="30"/>
      <c r="D1993" s="30"/>
      <c r="E1993" s="30"/>
      <c r="F1993" s="30"/>
      <c r="G1993" s="30"/>
      <c r="H1993" s="30"/>
      <c r="I1993" s="30"/>
      <c r="J1993" s="30"/>
      <c r="K1993" s="30"/>
      <c r="L1993" s="30"/>
      <c r="M1993" s="30"/>
      <c r="N1993" s="30"/>
      <c r="O1993" s="30"/>
      <c r="P1993" s="30"/>
      <c r="Q1993" s="30"/>
      <c r="R1993" s="30"/>
    </row>
    <row r="1995" spans="1:19" x14ac:dyDescent="0.35">
      <c r="B1995" s="30"/>
      <c r="C1995" s="30"/>
      <c r="D1995" s="30"/>
      <c r="E1995" s="30"/>
      <c r="F1995" s="30"/>
      <c r="G1995" s="30"/>
      <c r="H1995" s="30"/>
      <c r="I1995" s="30"/>
      <c r="J1995" s="30"/>
      <c r="K1995" s="30"/>
      <c r="L1995" s="30"/>
      <c r="M1995" s="30"/>
      <c r="N1995" s="30"/>
      <c r="O1995" s="30"/>
      <c r="P1995" s="30"/>
      <c r="Q1995" s="30"/>
      <c r="R1995" s="30"/>
    </row>
    <row r="1997" spans="1:19" x14ac:dyDescent="0.35">
      <c r="B1997" s="30"/>
      <c r="C1997" s="30"/>
      <c r="D1997" s="30"/>
      <c r="E1997" s="30"/>
      <c r="F1997" s="30"/>
      <c r="G1997" s="30"/>
      <c r="H1997" s="30"/>
      <c r="I1997" s="30"/>
      <c r="J1997" s="30"/>
      <c r="K1997" s="30"/>
      <c r="L1997" s="30"/>
      <c r="M1997" s="30"/>
      <c r="N1997" s="30"/>
      <c r="O1997" s="30"/>
      <c r="P1997" s="30"/>
      <c r="Q1997" s="30"/>
      <c r="R1997" s="30"/>
    </row>
    <row r="1999" spans="1:19" x14ac:dyDescent="0.35">
      <c r="B1999" s="30"/>
      <c r="C1999" s="30"/>
      <c r="D1999" s="30"/>
      <c r="E1999" s="30"/>
      <c r="F1999" s="30"/>
      <c r="G1999" s="30"/>
      <c r="H1999" s="30"/>
      <c r="I1999" s="30"/>
      <c r="J1999" s="30"/>
      <c r="K1999" s="30"/>
      <c r="L1999" s="30"/>
      <c r="M1999" s="30"/>
      <c r="N1999" s="30"/>
      <c r="O1999" s="30"/>
      <c r="P1999" s="30"/>
      <c r="Q1999" s="30"/>
      <c r="R1999" s="30"/>
    </row>
    <row r="2001" spans="1:19" x14ac:dyDescent="0.35">
      <c r="A2001" s="30"/>
      <c r="B2001" s="30"/>
      <c r="C2001" s="30"/>
      <c r="D2001" s="30"/>
      <c r="E2001" s="30"/>
      <c r="F2001" s="30"/>
      <c r="G2001" s="30"/>
      <c r="H2001" s="30"/>
      <c r="I2001" s="30"/>
      <c r="J2001" s="30"/>
      <c r="K2001" s="30"/>
      <c r="L2001" s="30"/>
      <c r="M2001" s="30"/>
      <c r="N2001" s="30"/>
      <c r="O2001" s="30"/>
      <c r="P2001" s="30"/>
      <c r="Q2001" s="30"/>
      <c r="R2001" s="30"/>
    </row>
    <row r="2002" spans="1:19" x14ac:dyDescent="0.35">
      <c r="A2002" s="30"/>
    </row>
    <row r="2003" spans="1:19" x14ac:dyDescent="0.35">
      <c r="A2003" s="30"/>
      <c r="B2003" s="30"/>
      <c r="C2003" s="30"/>
      <c r="D2003" s="30"/>
      <c r="E2003" s="30"/>
      <c r="F2003" s="30"/>
      <c r="G2003" s="30"/>
      <c r="H2003" s="30"/>
      <c r="I2003" s="30"/>
      <c r="J2003" s="30"/>
      <c r="K2003" s="30"/>
      <c r="L2003" s="30"/>
      <c r="M2003" s="30"/>
      <c r="N2003" s="30"/>
      <c r="O2003" s="30"/>
      <c r="P2003" s="30"/>
      <c r="Q2003" s="30"/>
      <c r="R2003" s="30"/>
    </row>
    <row r="2004" spans="1:19" x14ac:dyDescent="0.35">
      <c r="A2004" s="30"/>
    </row>
    <row r="2005" spans="1:19" x14ac:dyDescent="0.35">
      <c r="A2005" s="30"/>
      <c r="B2005" s="30"/>
      <c r="C2005" s="30"/>
      <c r="D2005" s="30"/>
      <c r="E2005" s="30"/>
      <c r="F2005" s="30"/>
      <c r="G2005" s="30"/>
      <c r="H2005" s="30"/>
      <c r="I2005" s="30"/>
      <c r="J2005" s="30"/>
      <c r="K2005" s="30"/>
      <c r="L2005" s="30"/>
      <c r="M2005" s="30"/>
      <c r="N2005" s="30"/>
      <c r="O2005" s="30"/>
      <c r="P2005" s="30"/>
      <c r="Q2005" s="30"/>
      <c r="R2005" s="30"/>
    </row>
    <row r="2006" spans="1:19" x14ac:dyDescent="0.35">
      <c r="A2006" s="30"/>
    </row>
    <row r="2007" spans="1:19" x14ac:dyDescent="0.35">
      <c r="A2007" s="30"/>
      <c r="B2007" s="30"/>
      <c r="C2007" s="30"/>
      <c r="D2007" s="30"/>
      <c r="E2007" s="30"/>
      <c r="F2007" s="30"/>
      <c r="G2007" s="30"/>
      <c r="H2007" s="30"/>
      <c r="I2007" s="30"/>
      <c r="J2007" s="30"/>
      <c r="K2007" s="30"/>
      <c r="L2007" s="30"/>
      <c r="M2007" s="30"/>
      <c r="N2007" s="30"/>
      <c r="O2007" s="30"/>
      <c r="P2007" s="30"/>
      <c r="Q2007" s="30"/>
      <c r="R2007" s="30"/>
    </row>
    <row r="2012" spans="1:19" x14ac:dyDescent="0.35">
      <c r="B2012" s="30"/>
      <c r="C2012" s="30"/>
      <c r="D2012" s="30"/>
      <c r="E2012" s="30"/>
      <c r="F2012" s="30"/>
      <c r="G2012" s="30"/>
      <c r="H2012" s="30"/>
      <c r="I2012" s="30"/>
      <c r="J2012" s="30"/>
      <c r="K2012" s="30"/>
      <c r="L2012" s="30"/>
      <c r="M2012" s="30"/>
      <c r="N2012" s="30"/>
      <c r="O2012" s="30"/>
      <c r="P2012" s="30"/>
      <c r="Q2012" s="30"/>
      <c r="R2012" s="30"/>
      <c r="S2012" s="30"/>
    </row>
    <row r="2013" spans="1:19" x14ac:dyDescent="0.35">
      <c r="A2013" s="30"/>
      <c r="B2013" s="30"/>
      <c r="C2013" s="30"/>
      <c r="D2013" s="30"/>
      <c r="E2013" s="30"/>
      <c r="F2013" s="30"/>
      <c r="G2013" s="30"/>
      <c r="H2013" s="30"/>
      <c r="I2013" s="30"/>
      <c r="J2013" s="30"/>
      <c r="K2013" s="30"/>
      <c r="L2013" s="30"/>
      <c r="M2013" s="30"/>
      <c r="N2013" s="30"/>
      <c r="O2013" s="30"/>
      <c r="P2013" s="30"/>
      <c r="Q2013" s="30"/>
      <c r="R2013" s="30"/>
    </row>
    <row r="2014" spans="1:19" x14ac:dyDescent="0.35">
      <c r="A2014" s="30"/>
      <c r="B2014" s="30"/>
      <c r="C2014" s="30"/>
      <c r="D2014" s="30"/>
      <c r="E2014" s="30"/>
      <c r="F2014" s="30"/>
      <c r="G2014" s="30"/>
      <c r="H2014" s="30"/>
      <c r="I2014" s="30"/>
      <c r="J2014" s="30"/>
      <c r="K2014" s="30"/>
      <c r="L2014" s="30"/>
      <c r="M2014" s="30"/>
      <c r="N2014" s="30"/>
      <c r="O2014" s="30"/>
      <c r="P2014" s="30"/>
      <c r="Q2014" s="30"/>
      <c r="R2014" s="30"/>
    </row>
    <row r="2015" spans="1:19" x14ac:dyDescent="0.35">
      <c r="A2015" s="30"/>
    </row>
    <row r="2016" spans="1:19" x14ac:dyDescent="0.35">
      <c r="A2016" s="30"/>
    </row>
    <row r="2017" spans="1:19" x14ac:dyDescent="0.35">
      <c r="A2017" s="30"/>
    </row>
    <row r="2018" spans="1:19" x14ac:dyDescent="0.35">
      <c r="A2018" s="30"/>
    </row>
    <row r="2019" spans="1:19" x14ac:dyDescent="0.35">
      <c r="A2019" s="30"/>
      <c r="B2019" s="30"/>
      <c r="C2019" s="30"/>
      <c r="D2019" s="30"/>
      <c r="E2019" s="30"/>
      <c r="F2019" s="30"/>
      <c r="G2019" s="30"/>
      <c r="H2019" s="30"/>
      <c r="I2019" s="30"/>
      <c r="J2019" s="30"/>
      <c r="K2019" s="30"/>
      <c r="L2019" s="30"/>
      <c r="M2019" s="30"/>
      <c r="N2019" s="30"/>
      <c r="O2019" s="30"/>
      <c r="P2019" s="30"/>
      <c r="Q2019" s="30"/>
      <c r="R2019" s="30"/>
    </row>
    <row r="2020" spans="1:19" x14ac:dyDescent="0.35">
      <c r="A2020" s="30"/>
    </row>
    <row r="2021" spans="1:19" x14ac:dyDescent="0.35">
      <c r="A2021" s="30"/>
    </row>
    <row r="2022" spans="1:19" x14ac:dyDescent="0.35">
      <c r="A2022" s="30"/>
      <c r="B2022" s="30"/>
      <c r="C2022" s="30"/>
      <c r="D2022" s="30"/>
      <c r="E2022" s="30"/>
      <c r="F2022" s="30"/>
      <c r="G2022" s="30"/>
      <c r="H2022" s="30"/>
      <c r="I2022" s="30"/>
      <c r="J2022" s="30"/>
      <c r="K2022" s="30"/>
      <c r="L2022" s="30"/>
      <c r="M2022" s="30"/>
      <c r="N2022" s="30"/>
      <c r="O2022" s="30"/>
      <c r="P2022" s="30"/>
      <c r="Q2022" s="30"/>
      <c r="R2022" s="30"/>
    </row>
    <row r="2023" spans="1:19" x14ac:dyDescent="0.35">
      <c r="A2023" s="30"/>
    </row>
    <row r="2024" spans="1:19" x14ac:dyDescent="0.35">
      <c r="A2024" s="30"/>
      <c r="B2024" s="30"/>
      <c r="C2024" s="30"/>
      <c r="D2024" s="30"/>
      <c r="E2024" s="30"/>
      <c r="F2024" s="30"/>
      <c r="G2024" s="30"/>
      <c r="H2024" s="30"/>
      <c r="I2024" s="30"/>
      <c r="J2024" s="30"/>
      <c r="K2024" s="30"/>
      <c r="L2024" s="30"/>
      <c r="M2024" s="30"/>
      <c r="N2024" s="30"/>
      <c r="O2024" s="30"/>
      <c r="P2024" s="30"/>
      <c r="Q2024" s="30"/>
      <c r="R2024" s="30"/>
    </row>
    <row r="2025" spans="1:19" x14ac:dyDescent="0.35">
      <c r="A2025" s="30"/>
    </row>
    <row r="2026" spans="1:19" x14ac:dyDescent="0.35">
      <c r="A2026" s="30"/>
      <c r="B2026" s="30"/>
      <c r="C2026" s="30"/>
      <c r="D2026" s="30"/>
      <c r="E2026" s="30"/>
      <c r="F2026" s="30"/>
      <c r="G2026" s="30"/>
      <c r="H2026" s="30"/>
      <c r="I2026" s="30"/>
      <c r="J2026" s="30"/>
      <c r="K2026" s="30"/>
      <c r="L2026" s="30"/>
      <c r="M2026" s="30"/>
      <c r="N2026" s="30"/>
      <c r="O2026" s="30"/>
      <c r="P2026" s="30"/>
      <c r="Q2026" s="30"/>
      <c r="R2026" s="30"/>
    </row>
    <row r="2027" spans="1:19" x14ac:dyDescent="0.35">
      <c r="A2027" s="30"/>
      <c r="B2027" s="30"/>
      <c r="C2027" s="30"/>
      <c r="D2027" s="30"/>
      <c r="E2027" s="30"/>
      <c r="F2027" s="30"/>
      <c r="G2027" s="30"/>
      <c r="H2027" s="30"/>
      <c r="I2027" s="30"/>
      <c r="J2027" s="30"/>
      <c r="K2027" s="30"/>
      <c r="L2027" s="30"/>
      <c r="M2027" s="30"/>
      <c r="N2027" s="30"/>
      <c r="O2027" s="30"/>
      <c r="P2027" s="30"/>
      <c r="Q2027" s="30"/>
      <c r="R2027" s="30"/>
    </row>
    <row r="2028" spans="1:19" x14ac:dyDescent="0.35">
      <c r="A2028" s="30"/>
      <c r="B2028" s="30"/>
      <c r="C2028" s="30"/>
      <c r="D2028" s="30"/>
      <c r="E2028" s="30"/>
      <c r="F2028" s="30"/>
      <c r="G2028" s="30"/>
      <c r="H2028" s="30"/>
      <c r="I2028" s="30"/>
      <c r="J2028" s="30"/>
      <c r="K2028" s="30"/>
      <c r="L2028" s="30"/>
      <c r="M2028" s="30"/>
      <c r="N2028" s="30"/>
      <c r="O2028" s="30"/>
      <c r="P2028" s="30"/>
      <c r="Q2028" s="30"/>
      <c r="R2028" s="30"/>
    </row>
    <row r="2029" spans="1:19" x14ac:dyDescent="0.35">
      <c r="A2029" s="30"/>
    </row>
    <row r="2030" spans="1:19" x14ac:dyDescent="0.35">
      <c r="A2030" s="30"/>
      <c r="B2030" s="30"/>
      <c r="C2030" s="30"/>
      <c r="D2030" s="30"/>
      <c r="E2030" s="30"/>
      <c r="F2030" s="30"/>
      <c r="G2030" s="30"/>
      <c r="H2030" s="30"/>
      <c r="I2030" s="30"/>
      <c r="J2030" s="30"/>
      <c r="K2030" s="30"/>
      <c r="L2030" s="30"/>
      <c r="M2030" s="30"/>
      <c r="N2030" s="30"/>
      <c r="O2030" s="30"/>
      <c r="P2030" s="30"/>
      <c r="Q2030" s="30"/>
      <c r="R2030" s="30"/>
      <c r="S2030" s="30"/>
    </row>
    <row r="2032" spans="1:19" x14ac:dyDescent="0.35">
      <c r="A2032" s="30"/>
      <c r="B2032" s="30"/>
      <c r="C2032" s="30"/>
      <c r="D2032" s="30"/>
      <c r="E2032" s="30"/>
      <c r="F2032" s="30"/>
      <c r="G2032" s="30"/>
      <c r="H2032" s="30"/>
      <c r="I2032" s="30"/>
      <c r="J2032" s="30"/>
      <c r="K2032" s="30"/>
      <c r="L2032" s="30"/>
      <c r="M2032" s="30"/>
      <c r="N2032" s="30"/>
      <c r="O2032" s="30"/>
      <c r="P2032" s="30"/>
      <c r="Q2032" s="30"/>
      <c r="R2032" s="30"/>
      <c r="S2032" s="30"/>
    </row>
    <row r="2033" spans="1:19" x14ac:dyDescent="0.35">
      <c r="A2033" s="30"/>
      <c r="B2033" s="30"/>
      <c r="C2033" s="30"/>
      <c r="D2033" s="30"/>
      <c r="E2033" s="30"/>
      <c r="F2033" s="30"/>
      <c r="G2033" s="30"/>
      <c r="H2033" s="30"/>
      <c r="I2033" s="30"/>
      <c r="J2033" s="30"/>
      <c r="K2033" s="30"/>
      <c r="L2033" s="30"/>
      <c r="M2033" s="30"/>
      <c r="N2033" s="30"/>
      <c r="O2033" s="30"/>
      <c r="P2033" s="30"/>
      <c r="Q2033" s="30"/>
      <c r="R2033" s="30"/>
      <c r="S2033" s="30"/>
    </row>
    <row r="2042" spans="1:19" x14ac:dyDescent="0.35">
      <c r="A2042" s="30"/>
      <c r="B2042" s="30"/>
      <c r="C2042" s="30"/>
      <c r="D2042" s="30"/>
      <c r="E2042" s="30"/>
      <c r="F2042" s="30"/>
      <c r="G2042" s="30"/>
      <c r="H2042" s="30"/>
      <c r="I2042" s="30"/>
      <c r="J2042" s="30"/>
      <c r="K2042" s="30"/>
      <c r="L2042" s="30"/>
      <c r="M2042" s="30"/>
      <c r="N2042" s="30"/>
      <c r="O2042" s="30"/>
      <c r="P2042" s="30"/>
      <c r="Q2042" s="30"/>
      <c r="R2042" s="30"/>
    </row>
    <row r="2043" spans="1:19" x14ac:dyDescent="0.35">
      <c r="A2043" s="30"/>
      <c r="B2043" s="30"/>
      <c r="C2043" s="30"/>
      <c r="D2043" s="30"/>
      <c r="E2043" s="30"/>
      <c r="F2043" s="30"/>
      <c r="G2043" s="30"/>
      <c r="H2043" s="30"/>
      <c r="I2043" s="30"/>
      <c r="J2043" s="30"/>
      <c r="K2043" s="30"/>
      <c r="L2043" s="30"/>
      <c r="M2043" s="30"/>
      <c r="N2043" s="30"/>
      <c r="O2043" s="30"/>
      <c r="P2043" s="30"/>
      <c r="Q2043" s="30"/>
      <c r="R2043" s="30"/>
    </row>
    <row r="2045" spans="1:19" x14ac:dyDescent="0.35">
      <c r="A2045" s="30"/>
      <c r="B2045" s="30"/>
      <c r="C2045" s="30"/>
      <c r="D2045" s="30"/>
      <c r="E2045" s="30"/>
      <c r="F2045" s="30"/>
      <c r="G2045" s="30"/>
      <c r="H2045" s="30"/>
      <c r="I2045" s="30"/>
      <c r="J2045" s="30"/>
      <c r="K2045" s="30"/>
      <c r="L2045" s="30"/>
      <c r="M2045" s="30"/>
      <c r="N2045" s="30"/>
      <c r="O2045" s="30"/>
      <c r="P2045" s="30"/>
      <c r="Q2045" s="30"/>
      <c r="R2045" s="30"/>
      <c r="S2045" s="30"/>
    </row>
    <row r="2047" spans="1:19" x14ac:dyDescent="0.35">
      <c r="A2047" s="30"/>
      <c r="B2047" s="30"/>
      <c r="C2047" s="30"/>
      <c r="D2047" s="30"/>
      <c r="E2047" s="30"/>
      <c r="F2047" s="30"/>
      <c r="G2047" s="30"/>
      <c r="H2047" s="30"/>
      <c r="I2047" s="30"/>
      <c r="J2047" s="30"/>
      <c r="K2047" s="30"/>
      <c r="L2047" s="30"/>
      <c r="M2047" s="30"/>
      <c r="N2047" s="30"/>
      <c r="O2047" s="30"/>
      <c r="P2047" s="30"/>
      <c r="Q2047" s="30"/>
      <c r="R2047" s="30"/>
      <c r="S2047" s="30"/>
    </row>
    <row r="2048" spans="1:19" x14ac:dyDescent="0.35">
      <c r="A2048" s="30"/>
      <c r="B2048" s="30"/>
      <c r="C2048" s="30"/>
      <c r="D2048" s="30"/>
      <c r="E2048" s="30"/>
      <c r="F2048" s="30"/>
      <c r="G2048" s="30"/>
      <c r="H2048" s="30"/>
      <c r="I2048" s="30"/>
      <c r="J2048" s="30"/>
      <c r="K2048" s="30"/>
      <c r="L2048" s="30"/>
      <c r="M2048" s="30"/>
      <c r="N2048" s="30"/>
      <c r="O2048" s="30"/>
      <c r="P2048" s="30"/>
      <c r="Q2048" s="30"/>
      <c r="R2048" s="30"/>
    </row>
    <row r="2049" spans="1:19" x14ac:dyDescent="0.35">
      <c r="A2049" s="30"/>
      <c r="B2049" s="30"/>
      <c r="C2049" s="30"/>
      <c r="D2049" s="30"/>
      <c r="E2049" s="30"/>
      <c r="F2049" s="30"/>
      <c r="G2049" s="30"/>
      <c r="H2049" s="30"/>
      <c r="I2049" s="30"/>
      <c r="J2049" s="30"/>
      <c r="K2049" s="30"/>
      <c r="L2049" s="30"/>
      <c r="M2049" s="30"/>
      <c r="N2049" s="30"/>
      <c r="O2049" s="30"/>
      <c r="P2049" s="30"/>
      <c r="Q2049" s="30"/>
      <c r="R2049" s="30"/>
      <c r="S2049" s="30"/>
    </row>
    <row r="2056" spans="1:19" x14ac:dyDescent="0.35">
      <c r="A2056" s="30"/>
      <c r="B2056" s="30"/>
      <c r="C2056" s="30"/>
      <c r="D2056" s="30"/>
      <c r="E2056" s="30"/>
      <c r="F2056" s="30"/>
      <c r="G2056" s="30"/>
      <c r="H2056" s="30"/>
      <c r="I2056" s="30"/>
      <c r="J2056" s="30"/>
      <c r="K2056" s="30"/>
      <c r="L2056" s="30"/>
      <c r="M2056" s="30"/>
      <c r="N2056" s="30"/>
      <c r="O2056" s="30"/>
      <c r="P2056" s="30"/>
      <c r="Q2056" s="30"/>
      <c r="R2056" s="30"/>
    </row>
    <row r="2059" spans="1:19" x14ac:dyDescent="0.35">
      <c r="S2059" s="30"/>
    </row>
    <row r="2060" spans="1:19" x14ac:dyDescent="0.35">
      <c r="S2060" s="30"/>
    </row>
    <row r="2061" spans="1:19" x14ac:dyDescent="0.35">
      <c r="A2061" s="30"/>
      <c r="B2061" s="30"/>
      <c r="C2061" s="30"/>
      <c r="D2061" s="30"/>
      <c r="E2061" s="30"/>
      <c r="F2061" s="30"/>
      <c r="G2061" s="30"/>
      <c r="H2061" s="30"/>
      <c r="I2061" s="30"/>
      <c r="J2061" s="30"/>
      <c r="K2061" s="30"/>
      <c r="L2061" s="30"/>
      <c r="M2061" s="30"/>
      <c r="N2061" s="30"/>
      <c r="O2061" s="30"/>
      <c r="P2061" s="30"/>
      <c r="Q2061" s="30"/>
      <c r="R2061" s="30"/>
    </row>
    <row r="2064" spans="1:19" x14ac:dyDescent="0.35">
      <c r="A2064" s="30"/>
      <c r="B2064" s="30"/>
      <c r="C2064" s="30"/>
      <c r="D2064" s="30"/>
      <c r="E2064" s="30"/>
      <c r="F2064" s="30"/>
      <c r="G2064" s="30"/>
      <c r="H2064" s="30"/>
      <c r="I2064" s="30"/>
      <c r="J2064" s="30"/>
      <c r="K2064" s="30"/>
      <c r="L2064" s="30"/>
      <c r="M2064" s="30"/>
      <c r="N2064" s="30"/>
      <c r="O2064" s="30"/>
      <c r="P2064" s="30"/>
      <c r="Q2064" s="30"/>
      <c r="R2064" s="30"/>
    </row>
    <row r="2066" spans="1:19" x14ac:dyDescent="0.35">
      <c r="A2066" s="30"/>
      <c r="B2066" s="30"/>
      <c r="C2066" s="30"/>
      <c r="D2066" s="30"/>
      <c r="E2066" s="30"/>
      <c r="F2066" s="30"/>
      <c r="G2066" s="30"/>
      <c r="H2066" s="30"/>
      <c r="I2066" s="30"/>
      <c r="J2066" s="30"/>
      <c r="K2066" s="30"/>
      <c r="L2066" s="30"/>
      <c r="M2066" s="30"/>
      <c r="N2066" s="30"/>
      <c r="O2066" s="30"/>
      <c r="P2066" s="30"/>
      <c r="Q2066" s="30"/>
      <c r="R2066" s="30"/>
    </row>
    <row r="2069" spans="1:19" x14ac:dyDescent="0.35">
      <c r="A2069" s="30"/>
      <c r="B2069" s="30"/>
      <c r="C2069" s="30"/>
      <c r="D2069" s="30"/>
      <c r="E2069" s="30"/>
      <c r="F2069" s="30"/>
      <c r="G2069" s="30"/>
      <c r="H2069" s="30"/>
      <c r="I2069" s="30"/>
      <c r="J2069" s="30"/>
      <c r="K2069" s="30"/>
      <c r="O2069" s="30"/>
      <c r="P2069" s="30"/>
      <c r="Q2069" s="30"/>
      <c r="R2069" s="30"/>
      <c r="S2069" s="30"/>
    </row>
    <row r="2070" spans="1:19" x14ac:dyDescent="0.35">
      <c r="A2070" s="30"/>
      <c r="B2070" s="30"/>
      <c r="C2070" s="30"/>
      <c r="D2070" s="30"/>
      <c r="E2070" s="30"/>
      <c r="F2070" s="30"/>
      <c r="G2070" s="30"/>
      <c r="H2070" s="30"/>
      <c r="I2070" s="30"/>
      <c r="J2070" s="30"/>
      <c r="K2070" s="30"/>
      <c r="L2070" s="30"/>
      <c r="M2070" s="30"/>
      <c r="N2070" s="30"/>
      <c r="O2070" s="30"/>
      <c r="P2070" s="30"/>
      <c r="Q2070" s="30"/>
      <c r="R2070" s="30"/>
    </row>
    <row r="2072" spans="1:19" x14ac:dyDescent="0.35">
      <c r="A2072" s="30"/>
      <c r="B2072" s="30"/>
      <c r="C2072" s="30"/>
      <c r="D2072" s="30"/>
      <c r="E2072" s="30"/>
      <c r="F2072" s="30"/>
      <c r="G2072" s="30"/>
      <c r="H2072" s="30"/>
      <c r="I2072" s="30"/>
      <c r="J2072" s="30"/>
      <c r="K2072" s="30"/>
      <c r="L2072" s="30"/>
      <c r="M2072" s="30"/>
      <c r="N2072" s="30"/>
      <c r="O2072" s="30"/>
      <c r="P2072" s="30"/>
      <c r="Q2072" s="30"/>
      <c r="R2072" s="30"/>
      <c r="S2072" s="30"/>
    </row>
    <row r="2076" spans="1:19" x14ac:dyDescent="0.35">
      <c r="S2076" s="20"/>
    </row>
    <row r="2077" spans="1:19" x14ac:dyDescent="0.35">
      <c r="A2077" s="30"/>
      <c r="B2077" s="30"/>
      <c r="C2077" s="30"/>
      <c r="D2077" s="30"/>
      <c r="E2077" s="30"/>
      <c r="F2077" s="30"/>
      <c r="G2077" s="30"/>
      <c r="H2077" s="30"/>
      <c r="I2077" s="30"/>
      <c r="J2077" s="30"/>
      <c r="K2077" s="30"/>
      <c r="L2077" s="30"/>
      <c r="M2077" s="30"/>
      <c r="N2077" s="30"/>
      <c r="O2077" s="30"/>
      <c r="P2077" s="30"/>
      <c r="Q2077" s="30"/>
      <c r="R2077" s="30"/>
      <c r="S2077" s="18"/>
    </row>
    <row r="2078" spans="1:19" x14ac:dyDescent="0.35">
      <c r="A2078" s="30"/>
      <c r="B2078" s="30"/>
      <c r="C2078" s="30"/>
      <c r="D2078" s="30"/>
      <c r="E2078" s="30"/>
      <c r="F2078" s="30"/>
      <c r="G2078" s="30"/>
      <c r="H2078" s="30"/>
      <c r="I2078" s="30"/>
      <c r="J2078" s="30"/>
      <c r="K2078" s="30"/>
      <c r="L2078" s="30"/>
      <c r="M2078" s="30"/>
      <c r="N2078" s="30"/>
      <c r="O2078" s="30"/>
      <c r="P2078" s="30"/>
      <c r="Q2078" s="30"/>
      <c r="R2078" s="30"/>
      <c r="S2078" s="20"/>
    </row>
    <row r="2079" spans="1:19" x14ac:dyDescent="0.35">
      <c r="A2079" s="30"/>
      <c r="B2079" s="30"/>
      <c r="C2079" s="30"/>
      <c r="D2079" s="30"/>
      <c r="E2079" s="30"/>
      <c r="F2079" s="30"/>
      <c r="G2079" s="30"/>
      <c r="H2079" s="30"/>
      <c r="I2079" s="30"/>
      <c r="J2079" s="30"/>
      <c r="K2079" s="30"/>
      <c r="L2079" s="30"/>
      <c r="M2079" s="30"/>
      <c r="N2079" s="30"/>
      <c r="O2079" s="30"/>
      <c r="P2079" s="30"/>
      <c r="Q2079" s="30"/>
      <c r="R2079" s="30"/>
      <c r="S2079" s="20"/>
    </row>
    <row r="2080" spans="1:19" x14ac:dyDescent="0.35">
      <c r="S2080" s="20"/>
    </row>
    <row r="2081" spans="1:19" x14ac:dyDescent="0.35">
      <c r="S2081" s="20"/>
    </row>
    <row r="2082" spans="1:19" x14ac:dyDescent="0.35">
      <c r="S2082" s="20"/>
    </row>
    <row r="2083" spans="1:19" x14ac:dyDescent="0.35">
      <c r="S2083" s="20"/>
    </row>
    <row r="2084" spans="1:19" x14ac:dyDescent="0.35">
      <c r="A2084" s="30"/>
      <c r="B2084" s="30"/>
      <c r="C2084" s="30"/>
      <c r="D2084" s="30"/>
      <c r="E2084" s="30"/>
      <c r="F2084" s="30"/>
      <c r="G2084" s="30"/>
      <c r="H2084" s="30"/>
      <c r="I2084" s="30"/>
      <c r="J2084" s="30"/>
      <c r="K2084" s="30"/>
      <c r="O2084" s="30"/>
      <c r="P2084" s="30"/>
      <c r="Q2084" s="30"/>
      <c r="R2084" s="30"/>
      <c r="S2084" s="18"/>
    </row>
    <row r="2085" spans="1:19" x14ac:dyDescent="0.35">
      <c r="A2085" s="30"/>
      <c r="B2085" s="30"/>
      <c r="C2085" s="30"/>
      <c r="D2085" s="30"/>
      <c r="E2085" s="30"/>
      <c r="F2085" s="30"/>
      <c r="G2085" s="30"/>
      <c r="H2085" s="30"/>
      <c r="I2085" s="30"/>
      <c r="J2085" s="30"/>
      <c r="K2085" s="30"/>
      <c r="L2085" s="30"/>
      <c r="M2085" s="30"/>
      <c r="N2085" s="30"/>
      <c r="O2085" s="30"/>
      <c r="P2085" s="30"/>
      <c r="Q2085" s="30"/>
      <c r="R2085" s="30"/>
      <c r="S2085" s="20"/>
    </row>
    <row r="2086" spans="1:19" x14ac:dyDescent="0.35">
      <c r="S2086" s="20"/>
    </row>
    <row r="2087" spans="1:19" x14ac:dyDescent="0.35">
      <c r="A2087" s="30"/>
      <c r="B2087" s="30"/>
      <c r="C2087" s="30"/>
      <c r="D2087" s="30"/>
      <c r="E2087" s="30"/>
      <c r="F2087" s="30"/>
      <c r="G2087" s="30"/>
      <c r="H2087" s="30"/>
      <c r="I2087" s="30"/>
      <c r="J2087" s="30"/>
      <c r="K2087" s="30"/>
      <c r="L2087" s="30"/>
      <c r="M2087" s="30"/>
      <c r="N2087" s="30"/>
      <c r="O2087" s="30"/>
      <c r="P2087" s="30"/>
      <c r="Q2087" s="30"/>
      <c r="R2087" s="30"/>
      <c r="S2087" s="18"/>
    </row>
    <row r="2088" spans="1:19" x14ac:dyDescent="0.35">
      <c r="A2088" s="30"/>
      <c r="B2088" s="30"/>
      <c r="C2088" s="30"/>
      <c r="D2088" s="30"/>
      <c r="E2088" s="30"/>
      <c r="F2088" s="30"/>
      <c r="G2088" s="30"/>
      <c r="H2088" s="30"/>
      <c r="I2088" s="30"/>
      <c r="J2088" s="30"/>
      <c r="K2088" s="30"/>
      <c r="L2088" s="30"/>
      <c r="M2088" s="30"/>
      <c r="N2088" s="30"/>
      <c r="O2088" s="30"/>
      <c r="P2088" s="30"/>
      <c r="Q2088" s="30"/>
      <c r="R2088" s="30"/>
      <c r="S2088" s="20"/>
    </row>
    <row r="2089" spans="1:19" x14ac:dyDescent="0.35">
      <c r="S2089" s="20"/>
    </row>
    <row r="2090" spans="1:19" x14ac:dyDescent="0.35">
      <c r="A2090" s="30"/>
      <c r="B2090" s="30"/>
      <c r="C2090" s="30"/>
      <c r="D2090" s="30"/>
      <c r="E2090" s="30"/>
      <c r="F2090" s="30"/>
      <c r="G2090" s="30"/>
      <c r="H2090" s="30"/>
      <c r="I2090" s="30"/>
      <c r="J2090" s="30"/>
      <c r="K2090" s="30"/>
      <c r="L2090" s="30"/>
      <c r="M2090" s="30"/>
      <c r="N2090" s="30"/>
      <c r="O2090" s="30"/>
      <c r="P2090" s="30"/>
      <c r="Q2090" s="30"/>
      <c r="R2090" s="30"/>
      <c r="S2090" s="18"/>
    </row>
    <row r="2091" spans="1:19" x14ac:dyDescent="0.35">
      <c r="S2091" s="20"/>
    </row>
    <row r="2092" spans="1:19" x14ac:dyDescent="0.35">
      <c r="A2092" s="30"/>
      <c r="B2092" s="30"/>
      <c r="C2092" s="30"/>
      <c r="D2092" s="30"/>
      <c r="E2092" s="30"/>
      <c r="F2092" s="30"/>
      <c r="G2092" s="30"/>
      <c r="H2092" s="30"/>
      <c r="I2092" s="30"/>
      <c r="J2092" s="30"/>
      <c r="K2092" s="30"/>
      <c r="L2092" s="30"/>
      <c r="M2092" s="30"/>
      <c r="N2092" s="30"/>
      <c r="O2092" s="30"/>
      <c r="P2092" s="30"/>
      <c r="Q2092" s="30"/>
      <c r="R2092" s="30"/>
      <c r="S2092" s="20"/>
    </row>
    <row r="2093" spans="1:19" x14ac:dyDescent="0.35">
      <c r="A2093" s="30"/>
      <c r="B2093" s="30"/>
      <c r="C2093" s="30"/>
      <c r="D2093" s="30"/>
      <c r="E2093" s="30"/>
      <c r="F2093" s="30"/>
      <c r="G2093" s="30"/>
      <c r="H2093" s="30"/>
      <c r="I2093" s="30"/>
      <c r="J2093" s="30"/>
      <c r="K2093" s="30"/>
      <c r="L2093" s="30"/>
      <c r="M2093" s="30"/>
      <c r="N2093" s="30"/>
      <c r="O2093" s="30"/>
      <c r="P2093" s="30"/>
      <c r="Q2093" s="30"/>
      <c r="R2093" s="30"/>
      <c r="S2093" s="18"/>
    </row>
    <row r="2094" spans="1:19" x14ac:dyDescent="0.35">
      <c r="S2094" s="20"/>
    </row>
    <row r="2095" spans="1:19" x14ac:dyDescent="0.35">
      <c r="A2095" s="30"/>
      <c r="B2095" s="30"/>
      <c r="C2095" s="30"/>
      <c r="D2095" s="30"/>
      <c r="E2095" s="30"/>
      <c r="F2095" s="30"/>
      <c r="G2095" s="30"/>
      <c r="H2095" s="30"/>
      <c r="I2095" s="30"/>
      <c r="J2095" s="30"/>
      <c r="K2095" s="30"/>
      <c r="L2095" s="30"/>
      <c r="M2095" s="30"/>
      <c r="N2095" s="30"/>
      <c r="O2095" s="30"/>
      <c r="P2095" s="30"/>
      <c r="Q2095" s="30"/>
      <c r="R2095" s="30"/>
      <c r="S2095" s="20"/>
    </row>
    <row r="2096" spans="1:19" x14ac:dyDescent="0.35">
      <c r="S2096" s="20"/>
    </row>
    <row r="2097" spans="1:19" x14ac:dyDescent="0.35">
      <c r="S2097" s="20"/>
    </row>
    <row r="2098" spans="1:19" x14ac:dyDescent="0.35">
      <c r="A2098" s="30"/>
      <c r="B2098" s="30"/>
      <c r="C2098" s="30"/>
      <c r="D2098" s="30"/>
      <c r="E2098" s="30"/>
      <c r="F2098" s="30"/>
      <c r="G2098" s="30"/>
      <c r="H2098" s="30"/>
      <c r="I2098" s="30"/>
      <c r="J2098" s="30"/>
      <c r="K2098" s="30"/>
      <c r="L2098" s="30"/>
      <c r="M2098" s="30"/>
      <c r="N2098" s="30"/>
      <c r="O2098" s="30"/>
      <c r="P2098" s="30"/>
      <c r="Q2098" s="30"/>
      <c r="R2098" s="30"/>
      <c r="S2098" s="20"/>
    </row>
    <row r="2099" spans="1:19" x14ac:dyDescent="0.35">
      <c r="A2099" s="30"/>
      <c r="B2099" s="30"/>
      <c r="C2099" s="30"/>
      <c r="D2099" s="30"/>
      <c r="E2099" s="30"/>
      <c r="F2099" s="30"/>
      <c r="G2099" s="30"/>
      <c r="H2099" s="30"/>
      <c r="I2099" s="30"/>
      <c r="J2099" s="30"/>
      <c r="K2099" s="30"/>
      <c r="L2099" s="30"/>
      <c r="M2099" s="30"/>
      <c r="N2099" s="30"/>
      <c r="O2099" s="30"/>
      <c r="P2099" s="30"/>
      <c r="Q2099" s="30"/>
      <c r="R2099" s="30"/>
      <c r="S2099" s="20"/>
    </row>
    <row r="2100" spans="1:19" x14ac:dyDescent="0.35">
      <c r="S2100" s="20"/>
    </row>
    <row r="2101" spans="1:19" x14ac:dyDescent="0.35">
      <c r="S2101" s="20"/>
    </row>
    <row r="2102" spans="1:19" x14ac:dyDescent="0.35">
      <c r="S2102" s="20"/>
    </row>
    <row r="2103" spans="1:19" x14ac:dyDescent="0.35">
      <c r="S2103" s="20"/>
    </row>
    <row r="2104" spans="1:19" x14ac:dyDescent="0.35">
      <c r="A2104" s="30"/>
      <c r="B2104" s="30"/>
      <c r="C2104" s="30"/>
      <c r="D2104" s="30"/>
      <c r="E2104" s="30"/>
      <c r="F2104" s="30"/>
      <c r="G2104" s="30"/>
      <c r="H2104" s="30"/>
      <c r="I2104" s="30"/>
      <c r="J2104" s="30"/>
      <c r="K2104" s="30"/>
      <c r="L2104" s="30"/>
      <c r="M2104" s="30"/>
      <c r="N2104" s="30"/>
      <c r="O2104" s="30"/>
      <c r="P2104" s="30"/>
      <c r="Q2104" s="30"/>
      <c r="R2104" s="30"/>
      <c r="S2104" s="18"/>
    </row>
    <row r="2105" spans="1:19" x14ac:dyDescent="0.35">
      <c r="S2105" s="20"/>
    </row>
    <row r="2106" spans="1:19" x14ac:dyDescent="0.35">
      <c r="A2106" s="30"/>
      <c r="B2106" s="30"/>
      <c r="C2106" s="30"/>
      <c r="D2106" s="30"/>
      <c r="E2106" s="30"/>
      <c r="F2106" s="30"/>
      <c r="G2106" s="30"/>
      <c r="H2106" s="30"/>
      <c r="I2106" s="30"/>
      <c r="J2106" s="30"/>
      <c r="K2106" s="30"/>
      <c r="L2106" s="30"/>
      <c r="M2106" s="30"/>
      <c r="N2106" s="30"/>
      <c r="O2106" s="30"/>
      <c r="P2106" s="30"/>
      <c r="Q2106" s="30"/>
      <c r="R2106" s="30"/>
      <c r="S2106" s="20"/>
    </row>
    <row r="2107" spans="1:19" x14ac:dyDescent="0.35">
      <c r="S2107" s="18"/>
    </row>
    <row r="2108" spans="1:19" x14ac:dyDescent="0.35">
      <c r="S2108" s="20"/>
    </row>
    <row r="2109" spans="1:19" x14ac:dyDescent="0.35">
      <c r="A2109" s="30"/>
      <c r="B2109" s="30"/>
      <c r="C2109" s="30"/>
      <c r="D2109" s="30"/>
      <c r="E2109" s="30"/>
      <c r="F2109" s="30"/>
      <c r="G2109" s="30"/>
      <c r="H2109" s="30"/>
      <c r="I2109" s="30"/>
      <c r="J2109" s="30"/>
      <c r="K2109" s="30"/>
      <c r="L2109" s="30"/>
      <c r="M2109" s="30"/>
      <c r="N2109" s="30"/>
      <c r="O2109" s="30"/>
      <c r="P2109" s="30"/>
      <c r="Q2109" s="30"/>
      <c r="R2109" s="30"/>
      <c r="S2109" s="20"/>
    </row>
    <row r="2110" spans="1:19" x14ac:dyDescent="0.35">
      <c r="S2110" s="20"/>
    </row>
    <row r="2111" spans="1:19" x14ac:dyDescent="0.35">
      <c r="A2111" s="30"/>
      <c r="B2111" s="30"/>
      <c r="C2111" s="30"/>
      <c r="D2111" s="30"/>
      <c r="E2111" s="30"/>
      <c r="F2111" s="30"/>
      <c r="G2111" s="30"/>
      <c r="H2111" s="30"/>
      <c r="I2111" s="30"/>
      <c r="J2111" s="30"/>
      <c r="K2111" s="30"/>
      <c r="L2111" s="30"/>
      <c r="M2111" s="30"/>
      <c r="N2111" s="30"/>
      <c r="O2111" s="30"/>
      <c r="P2111" s="30"/>
      <c r="Q2111" s="30"/>
      <c r="R2111" s="30"/>
      <c r="S2111" s="20"/>
    </row>
    <row r="2112" spans="1:19" x14ac:dyDescent="0.35">
      <c r="S2112" s="20"/>
    </row>
    <row r="2113" spans="1:19" x14ac:dyDescent="0.35">
      <c r="S2113" s="20"/>
    </row>
    <row r="2114" spans="1:19" x14ac:dyDescent="0.35">
      <c r="A2114" s="30"/>
      <c r="B2114" s="30"/>
      <c r="C2114" s="30"/>
      <c r="D2114" s="30"/>
      <c r="E2114" s="30"/>
      <c r="F2114" s="30"/>
      <c r="G2114" s="30"/>
      <c r="H2114" s="30"/>
      <c r="I2114" s="30"/>
      <c r="J2114" s="30"/>
      <c r="K2114" s="30"/>
      <c r="L2114" s="30"/>
      <c r="M2114" s="30"/>
      <c r="N2114" s="30"/>
      <c r="O2114" s="30"/>
      <c r="P2114" s="30"/>
      <c r="Q2114" s="30"/>
      <c r="R2114" s="30"/>
      <c r="S2114" s="20"/>
    </row>
    <row r="2115" spans="1:19" x14ac:dyDescent="0.35">
      <c r="S2115" s="20"/>
    </row>
    <row r="2116" spans="1:19" x14ac:dyDescent="0.35">
      <c r="S2116" s="18"/>
    </row>
    <row r="2117" spans="1:19" x14ac:dyDescent="0.35">
      <c r="A2117" s="30"/>
      <c r="B2117" s="30"/>
      <c r="C2117" s="30"/>
      <c r="D2117" s="30"/>
      <c r="E2117" s="30"/>
      <c r="F2117" s="30"/>
      <c r="G2117" s="30"/>
      <c r="H2117" s="30"/>
      <c r="I2117" s="30"/>
      <c r="J2117" s="30"/>
      <c r="K2117" s="30"/>
      <c r="L2117" s="30"/>
      <c r="M2117" s="30"/>
      <c r="N2117" s="30"/>
      <c r="O2117" s="30"/>
      <c r="P2117" s="30"/>
      <c r="Q2117" s="30"/>
      <c r="R2117" s="30"/>
      <c r="S2117" s="20"/>
    </row>
    <row r="2118" spans="1:19" x14ac:dyDescent="0.35">
      <c r="S2118" s="20"/>
    </row>
    <row r="2122" spans="1:19" x14ac:dyDescent="0.35">
      <c r="A2122" s="30"/>
      <c r="B2122" s="30"/>
      <c r="C2122" s="30"/>
      <c r="D2122" s="30"/>
      <c r="E2122" s="30"/>
      <c r="F2122" s="30"/>
      <c r="G2122" s="30"/>
      <c r="H2122" s="30"/>
      <c r="I2122" s="30"/>
      <c r="J2122" s="30"/>
      <c r="K2122" s="30"/>
      <c r="L2122" s="30"/>
      <c r="M2122" s="30"/>
      <c r="N2122" s="30"/>
      <c r="O2122" s="30"/>
      <c r="P2122" s="30"/>
      <c r="Q2122" s="30"/>
      <c r="R2122" s="30"/>
      <c r="S2122" s="30"/>
    </row>
    <row r="2124" spans="1:19" x14ac:dyDescent="0.35">
      <c r="S2124" s="30"/>
    </row>
    <row r="2126" spans="1:19" x14ac:dyDescent="0.35">
      <c r="A2126" s="30"/>
      <c r="B2126" s="30"/>
      <c r="C2126" s="30"/>
      <c r="D2126" s="30"/>
      <c r="E2126" s="30"/>
      <c r="F2126" s="30"/>
      <c r="G2126" s="30"/>
      <c r="H2126" s="30"/>
      <c r="I2126" s="30"/>
      <c r="J2126" s="30"/>
      <c r="K2126" s="30"/>
      <c r="L2126" s="30"/>
      <c r="M2126" s="30"/>
      <c r="N2126" s="30"/>
      <c r="O2126" s="30"/>
      <c r="P2126" s="30"/>
      <c r="Q2126" s="30"/>
      <c r="R2126" s="30"/>
    </row>
    <row r="2127" spans="1:19" x14ac:dyDescent="0.35">
      <c r="A2127" s="30"/>
      <c r="B2127" s="30"/>
      <c r="C2127" s="30"/>
      <c r="D2127" s="30"/>
      <c r="E2127" s="30"/>
      <c r="F2127" s="30"/>
      <c r="G2127" s="30"/>
      <c r="H2127" s="30"/>
      <c r="I2127" s="30"/>
      <c r="J2127" s="30"/>
      <c r="K2127" s="30"/>
      <c r="L2127" s="30"/>
      <c r="M2127" s="30"/>
      <c r="N2127" s="30"/>
      <c r="O2127" s="30"/>
      <c r="P2127" s="30"/>
      <c r="Q2127" s="30"/>
      <c r="R2127" s="30"/>
    </row>
    <row r="2130" spans="1:19" x14ac:dyDescent="0.35">
      <c r="A2130" s="30"/>
      <c r="B2130" s="30"/>
      <c r="C2130" s="30"/>
      <c r="D2130" s="30"/>
      <c r="E2130" s="30"/>
      <c r="F2130" s="30"/>
      <c r="G2130" s="30"/>
      <c r="H2130" s="30"/>
      <c r="I2130" s="30"/>
      <c r="J2130" s="30"/>
      <c r="K2130" s="30"/>
      <c r="L2130" s="30"/>
      <c r="M2130" s="30"/>
      <c r="N2130" s="30"/>
      <c r="O2130" s="30"/>
      <c r="P2130" s="30"/>
      <c r="Q2130" s="30"/>
      <c r="R2130" s="30"/>
    </row>
    <row r="2131" spans="1:19" x14ac:dyDescent="0.35">
      <c r="A2131" s="30"/>
      <c r="B2131" s="30"/>
      <c r="C2131" s="30"/>
      <c r="D2131" s="30"/>
      <c r="E2131" s="30"/>
      <c r="F2131" s="30"/>
      <c r="G2131" s="30"/>
      <c r="H2131" s="30"/>
      <c r="I2131" s="30"/>
      <c r="J2131" s="30"/>
      <c r="K2131" s="30"/>
      <c r="O2131" s="30"/>
      <c r="P2131" s="30"/>
      <c r="Q2131" s="30"/>
      <c r="R2131" s="30"/>
    </row>
    <row r="2132" spans="1:19" x14ac:dyDescent="0.35">
      <c r="A2132" s="30"/>
      <c r="B2132" s="30"/>
      <c r="C2132" s="30"/>
      <c r="D2132" s="30"/>
      <c r="E2132" s="30"/>
      <c r="F2132" s="30"/>
      <c r="G2132" s="30"/>
      <c r="H2132" s="30"/>
      <c r="I2132" s="30"/>
      <c r="J2132" s="30"/>
      <c r="K2132" s="30"/>
      <c r="L2132" s="30"/>
      <c r="M2132" s="30"/>
      <c r="N2132" s="30"/>
      <c r="O2132" s="30"/>
      <c r="P2132" s="30"/>
      <c r="Q2132" s="30"/>
      <c r="R2132" s="30"/>
    </row>
    <row r="2133" spans="1:19" x14ac:dyDescent="0.35">
      <c r="A2133" s="30"/>
      <c r="B2133" s="30"/>
      <c r="C2133" s="30"/>
      <c r="D2133" s="30"/>
      <c r="E2133" s="30"/>
      <c r="F2133" s="30"/>
      <c r="G2133" s="30"/>
      <c r="H2133" s="30"/>
      <c r="I2133" s="30"/>
      <c r="J2133" s="30"/>
      <c r="K2133" s="30"/>
      <c r="L2133" s="30"/>
      <c r="M2133" s="30"/>
      <c r="N2133" s="30"/>
      <c r="O2133" s="30"/>
      <c r="P2133" s="30"/>
      <c r="Q2133" s="30"/>
      <c r="R2133" s="30"/>
    </row>
    <row r="2137" spans="1:19" x14ac:dyDescent="0.35">
      <c r="A2137" s="30"/>
      <c r="B2137" s="30"/>
      <c r="C2137" s="30"/>
      <c r="D2137" s="30"/>
      <c r="E2137" s="30"/>
      <c r="F2137" s="30"/>
      <c r="G2137" s="30"/>
      <c r="H2137" s="30"/>
      <c r="I2137" s="30"/>
      <c r="J2137" s="30"/>
      <c r="K2137" s="30"/>
      <c r="L2137" s="30"/>
      <c r="M2137" s="30"/>
      <c r="N2137" s="30"/>
      <c r="O2137" s="30"/>
      <c r="P2137" s="30"/>
      <c r="Q2137" s="30"/>
      <c r="R2137" s="30"/>
    </row>
    <row r="2138" spans="1:19" x14ac:dyDescent="0.35">
      <c r="S2138" s="30"/>
    </row>
    <row r="2141" spans="1:19" x14ac:dyDescent="0.35">
      <c r="A2141" s="30"/>
      <c r="B2141" s="30"/>
      <c r="C2141" s="30"/>
      <c r="D2141" s="30"/>
      <c r="E2141" s="30"/>
      <c r="F2141" s="30"/>
      <c r="G2141" s="30"/>
      <c r="H2141" s="30"/>
      <c r="I2141" s="30"/>
      <c r="J2141" s="30"/>
      <c r="K2141" s="30"/>
      <c r="L2141" s="30"/>
      <c r="M2141" s="30"/>
      <c r="N2141" s="30"/>
      <c r="O2141" s="30"/>
      <c r="P2141" s="30"/>
      <c r="Q2141" s="30"/>
      <c r="R2141" s="30"/>
    </row>
    <row r="2143" spans="1:19" x14ac:dyDescent="0.35">
      <c r="A2143" s="30"/>
      <c r="B2143" s="30"/>
      <c r="C2143" s="30"/>
      <c r="D2143" s="30"/>
      <c r="E2143" s="30"/>
      <c r="F2143" s="30"/>
      <c r="G2143" s="30"/>
      <c r="H2143" s="30"/>
      <c r="I2143" s="30"/>
      <c r="J2143" s="30"/>
      <c r="K2143" s="30"/>
      <c r="L2143" s="30"/>
      <c r="M2143" s="30"/>
      <c r="N2143" s="30"/>
      <c r="O2143" s="30"/>
      <c r="P2143" s="30"/>
      <c r="Q2143" s="30"/>
      <c r="R2143" s="30"/>
    </row>
    <row r="2144" spans="1:19" x14ac:dyDescent="0.35">
      <c r="A2144" s="30"/>
      <c r="B2144" s="30"/>
      <c r="C2144" s="30"/>
      <c r="D2144" s="30"/>
      <c r="E2144" s="30"/>
      <c r="F2144" s="30"/>
      <c r="G2144" s="30"/>
      <c r="H2144" s="30"/>
      <c r="I2144" s="30"/>
      <c r="J2144" s="30"/>
      <c r="K2144" s="30"/>
      <c r="O2144" s="30"/>
      <c r="P2144" s="30"/>
      <c r="Q2144" s="30"/>
      <c r="R2144" s="30"/>
    </row>
    <row r="2145" spans="1:19" x14ac:dyDescent="0.35">
      <c r="A2145" s="30"/>
      <c r="B2145" s="30"/>
      <c r="C2145" s="30"/>
      <c r="D2145" s="30"/>
      <c r="E2145" s="30"/>
      <c r="F2145" s="30"/>
      <c r="G2145" s="30"/>
      <c r="H2145" s="30"/>
      <c r="I2145" s="30"/>
      <c r="J2145" s="30"/>
      <c r="K2145" s="30"/>
      <c r="L2145" s="30"/>
      <c r="M2145" s="30"/>
      <c r="N2145" s="30"/>
      <c r="O2145" s="30"/>
      <c r="P2145" s="30"/>
      <c r="Q2145" s="30"/>
      <c r="R2145" s="30"/>
      <c r="S2145" s="30"/>
    </row>
    <row r="2146" spans="1:19" x14ac:dyDescent="0.35">
      <c r="A2146" s="30"/>
      <c r="B2146" s="30"/>
      <c r="C2146" s="30"/>
      <c r="D2146" s="30"/>
      <c r="E2146" s="30"/>
      <c r="F2146" s="30"/>
      <c r="G2146" s="30"/>
      <c r="H2146" s="30"/>
      <c r="I2146" s="30"/>
      <c r="J2146" s="30"/>
      <c r="K2146" s="30"/>
      <c r="L2146" s="30"/>
      <c r="M2146" s="30"/>
      <c r="N2146" s="30"/>
      <c r="O2146" s="30"/>
      <c r="P2146" s="30"/>
      <c r="Q2146" s="30"/>
      <c r="R2146" s="30"/>
    </row>
    <row r="2150" spans="1:19" x14ac:dyDescent="0.35">
      <c r="A2150" s="30"/>
      <c r="B2150" s="30"/>
      <c r="C2150" s="30"/>
      <c r="D2150" s="30"/>
      <c r="E2150" s="30"/>
      <c r="F2150" s="30"/>
      <c r="G2150" s="30"/>
      <c r="H2150" s="30"/>
      <c r="I2150" s="30"/>
      <c r="J2150" s="30"/>
      <c r="K2150" s="30"/>
      <c r="L2150" s="30"/>
      <c r="M2150" s="30"/>
      <c r="N2150" s="30"/>
      <c r="O2150" s="30"/>
      <c r="P2150" s="30"/>
      <c r="Q2150" s="30"/>
      <c r="R2150" s="30"/>
    </row>
    <row r="2151" spans="1:19" x14ac:dyDescent="0.35">
      <c r="A2151" s="30"/>
      <c r="B2151" s="30"/>
      <c r="C2151" s="30"/>
      <c r="D2151" s="30"/>
      <c r="E2151" s="30"/>
      <c r="F2151" s="30"/>
      <c r="G2151" s="30"/>
      <c r="H2151" s="30"/>
      <c r="I2151" s="30"/>
      <c r="J2151" s="30"/>
      <c r="K2151" s="30"/>
      <c r="O2151" s="30"/>
      <c r="P2151" s="30"/>
      <c r="Q2151" s="30"/>
      <c r="R2151" s="30"/>
    </row>
    <row r="2152" spans="1:19" x14ac:dyDescent="0.35">
      <c r="A2152" s="30"/>
      <c r="B2152" s="30"/>
      <c r="C2152" s="30"/>
      <c r="D2152" s="30"/>
      <c r="E2152" s="30"/>
      <c r="F2152" s="30"/>
      <c r="G2152" s="30"/>
      <c r="H2152" s="30"/>
      <c r="I2152" s="30"/>
      <c r="J2152" s="30"/>
      <c r="K2152" s="30"/>
      <c r="L2152" s="30"/>
      <c r="M2152" s="30"/>
      <c r="N2152" s="30"/>
      <c r="O2152" s="30"/>
      <c r="P2152" s="30"/>
      <c r="Q2152" s="30"/>
      <c r="R2152" s="30"/>
      <c r="S2152" s="30"/>
    </row>
    <row r="2153" spans="1:19" x14ac:dyDescent="0.35">
      <c r="A2153" s="30"/>
      <c r="B2153" s="30"/>
      <c r="C2153" s="30"/>
      <c r="D2153" s="30"/>
      <c r="E2153" s="30"/>
      <c r="F2153" s="30"/>
      <c r="G2153" s="30"/>
      <c r="H2153" s="30"/>
      <c r="I2153" s="30"/>
      <c r="J2153" s="30"/>
      <c r="K2153" s="30"/>
      <c r="L2153" s="30"/>
      <c r="M2153" s="30"/>
      <c r="N2153" s="30"/>
      <c r="O2153" s="30"/>
      <c r="P2153" s="30"/>
      <c r="Q2153" s="30"/>
      <c r="R2153" s="30"/>
      <c r="S2153" s="30"/>
    </row>
    <row r="2154" spans="1:19" x14ac:dyDescent="0.35">
      <c r="A2154" s="30"/>
      <c r="B2154" s="30"/>
      <c r="C2154" s="30"/>
      <c r="D2154" s="30"/>
      <c r="E2154" s="30"/>
      <c r="F2154" s="30"/>
      <c r="G2154" s="30"/>
      <c r="H2154" s="30"/>
      <c r="I2154" s="30"/>
      <c r="J2154" s="30"/>
      <c r="K2154" s="30"/>
      <c r="L2154" s="30"/>
      <c r="M2154" s="30"/>
      <c r="N2154" s="30"/>
      <c r="O2154" s="30"/>
      <c r="P2154" s="30"/>
      <c r="Q2154" s="30"/>
      <c r="R2154" s="30"/>
    </row>
    <row r="2155" spans="1:19" x14ac:dyDescent="0.35">
      <c r="A2155" s="30"/>
      <c r="B2155" s="30"/>
      <c r="C2155" s="30"/>
      <c r="D2155" s="30"/>
      <c r="E2155" s="30"/>
      <c r="F2155" s="30"/>
      <c r="G2155" s="30"/>
      <c r="H2155" s="30"/>
      <c r="I2155" s="30"/>
      <c r="J2155" s="30"/>
      <c r="K2155" s="30"/>
      <c r="L2155" s="30"/>
      <c r="M2155" s="30"/>
      <c r="N2155" s="30"/>
      <c r="O2155" s="30"/>
      <c r="P2155" s="30"/>
      <c r="Q2155" s="30"/>
      <c r="R2155" s="30"/>
    </row>
    <row r="2159" spans="1:19" x14ac:dyDescent="0.35">
      <c r="S2159" s="30"/>
    </row>
    <row r="2160" spans="1:19" x14ac:dyDescent="0.35">
      <c r="A2160" s="30"/>
      <c r="B2160" s="30"/>
      <c r="C2160" s="30"/>
      <c r="D2160" s="30"/>
      <c r="E2160" s="30"/>
      <c r="F2160" s="30"/>
      <c r="G2160" s="30"/>
      <c r="H2160" s="30"/>
      <c r="I2160" s="30"/>
      <c r="J2160" s="30"/>
      <c r="K2160" s="30"/>
      <c r="L2160" s="30"/>
      <c r="M2160" s="30"/>
      <c r="N2160" s="30"/>
      <c r="O2160" s="30"/>
      <c r="P2160" s="30"/>
      <c r="Q2160" s="30"/>
      <c r="R2160" s="30"/>
    </row>
    <row r="2162" spans="1:19" x14ac:dyDescent="0.35">
      <c r="A2162" s="30"/>
      <c r="B2162" s="30"/>
      <c r="C2162" s="30"/>
      <c r="D2162" s="30"/>
      <c r="E2162" s="30"/>
      <c r="F2162" s="30"/>
      <c r="G2162" s="30"/>
      <c r="H2162" s="30"/>
      <c r="I2162" s="30"/>
      <c r="J2162" s="30"/>
      <c r="K2162" s="30"/>
      <c r="L2162" s="30"/>
      <c r="M2162" s="30"/>
      <c r="N2162" s="30"/>
      <c r="O2162" s="30"/>
      <c r="P2162" s="30"/>
      <c r="Q2162" s="30"/>
      <c r="R2162" s="30"/>
    </row>
    <row r="2163" spans="1:19" x14ac:dyDescent="0.35">
      <c r="A2163" s="30"/>
      <c r="B2163" s="30"/>
      <c r="C2163" s="30"/>
      <c r="D2163" s="30"/>
      <c r="E2163" s="30"/>
      <c r="F2163" s="30"/>
      <c r="G2163" s="30"/>
      <c r="H2163" s="30"/>
      <c r="I2163" s="30"/>
      <c r="J2163" s="30"/>
      <c r="K2163" s="30"/>
      <c r="L2163" s="30"/>
      <c r="M2163" s="30"/>
      <c r="N2163" s="30"/>
      <c r="O2163" s="30"/>
      <c r="P2163" s="30"/>
      <c r="Q2163" s="30"/>
      <c r="R2163" s="30"/>
    </row>
    <row r="2165" spans="1:19" x14ac:dyDescent="0.35">
      <c r="A2165" s="30"/>
      <c r="B2165" s="30"/>
      <c r="C2165" s="30"/>
      <c r="D2165" s="30"/>
      <c r="E2165" s="30"/>
      <c r="F2165" s="30"/>
      <c r="G2165" s="30"/>
      <c r="H2165" s="30"/>
      <c r="I2165" s="30"/>
      <c r="J2165" s="30"/>
      <c r="K2165" s="30"/>
      <c r="L2165" s="30"/>
      <c r="M2165" s="30"/>
      <c r="N2165" s="30"/>
      <c r="O2165" s="30"/>
      <c r="P2165" s="30"/>
      <c r="Q2165" s="30"/>
      <c r="R2165" s="30"/>
    </row>
    <row r="2169" spans="1:19" x14ac:dyDescent="0.35">
      <c r="A2169" s="30"/>
      <c r="B2169" s="30"/>
      <c r="C2169" s="30"/>
      <c r="D2169" s="30"/>
      <c r="E2169" s="30"/>
      <c r="F2169" s="30"/>
      <c r="G2169" s="30"/>
      <c r="H2169" s="30"/>
      <c r="I2169" s="30"/>
      <c r="J2169" s="30"/>
      <c r="K2169" s="30"/>
      <c r="L2169" s="30"/>
      <c r="M2169" s="30"/>
      <c r="N2169" s="30"/>
      <c r="O2169" s="30"/>
      <c r="P2169" s="30"/>
      <c r="Q2169" s="30"/>
      <c r="R2169" s="30"/>
      <c r="S2169" s="30"/>
    </row>
    <row r="2171" spans="1:19" x14ac:dyDescent="0.35">
      <c r="S2171" s="30"/>
    </row>
    <row r="2174" spans="1:19" x14ac:dyDescent="0.35">
      <c r="A2174" s="30"/>
      <c r="B2174" s="30"/>
      <c r="C2174" s="30"/>
      <c r="D2174" s="30"/>
      <c r="E2174" s="30"/>
      <c r="F2174" s="30"/>
      <c r="G2174" s="30"/>
      <c r="H2174" s="30"/>
      <c r="I2174" s="30"/>
      <c r="J2174" s="30"/>
      <c r="K2174" s="30"/>
      <c r="L2174" s="30"/>
      <c r="M2174" s="30"/>
      <c r="N2174" s="30"/>
      <c r="O2174" s="30"/>
      <c r="P2174" s="30"/>
      <c r="Q2174" s="30"/>
      <c r="R2174" s="30"/>
    </row>
    <row r="2176" spans="1:19" x14ac:dyDescent="0.35">
      <c r="A2176" s="30"/>
      <c r="B2176" s="30"/>
      <c r="C2176" s="30"/>
      <c r="D2176" s="30"/>
      <c r="E2176" s="30"/>
      <c r="F2176" s="30"/>
      <c r="G2176" s="30"/>
      <c r="H2176" s="30"/>
      <c r="I2176" s="30"/>
      <c r="J2176" s="30"/>
      <c r="K2176" s="30"/>
      <c r="O2176" s="30"/>
      <c r="P2176" s="30"/>
      <c r="Q2176" s="30"/>
      <c r="R2176" s="30"/>
      <c r="S2176" s="30"/>
    </row>
    <row r="2179" spans="1:19" x14ac:dyDescent="0.35">
      <c r="A2179" s="30"/>
      <c r="B2179" s="30"/>
      <c r="C2179" s="30"/>
      <c r="D2179" s="30"/>
      <c r="E2179" s="30"/>
      <c r="F2179" s="30"/>
      <c r="G2179" s="30"/>
      <c r="H2179" s="30"/>
      <c r="I2179" s="30"/>
      <c r="J2179" s="30"/>
      <c r="K2179" s="30"/>
      <c r="O2179" s="30"/>
      <c r="P2179" s="30"/>
      <c r="Q2179" s="30"/>
      <c r="R2179" s="30"/>
    </row>
    <row r="2180" spans="1:19" x14ac:dyDescent="0.35">
      <c r="A2180" s="30"/>
      <c r="B2180" s="30"/>
      <c r="C2180" s="30"/>
      <c r="D2180" s="30"/>
      <c r="E2180" s="30"/>
      <c r="F2180" s="30"/>
      <c r="G2180" s="30"/>
      <c r="H2180" s="30"/>
      <c r="I2180" s="30"/>
      <c r="J2180" s="30"/>
      <c r="K2180" s="30"/>
      <c r="L2180" s="30"/>
      <c r="M2180" s="30"/>
      <c r="N2180" s="30"/>
      <c r="O2180" s="30"/>
      <c r="P2180" s="30"/>
      <c r="Q2180" s="30"/>
      <c r="R2180" s="30"/>
    </row>
    <row r="2183" spans="1:19" x14ac:dyDescent="0.35">
      <c r="A2183" s="30"/>
      <c r="B2183" s="30"/>
      <c r="C2183" s="30"/>
      <c r="D2183" s="30"/>
      <c r="E2183" s="30"/>
      <c r="F2183" s="30"/>
      <c r="G2183" s="30"/>
      <c r="H2183" s="30"/>
      <c r="I2183" s="30"/>
      <c r="J2183" s="30"/>
      <c r="K2183" s="30"/>
      <c r="L2183" s="30"/>
      <c r="M2183" s="30"/>
      <c r="N2183" s="30"/>
      <c r="O2183" s="30"/>
      <c r="P2183" s="30"/>
      <c r="Q2183" s="30"/>
      <c r="R2183" s="30"/>
    </row>
    <row r="2185" spans="1:19" x14ac:dyDescent="0.35">
      <c r="A2185" s="30"/>
      <c r="B2185" s="30"/>
      <c r="C2185" s="30"/>
      <c r="D2185" s="30"/>
      <c r="E2185" s="30"/>
      <c r="F2185" s="30"/>
      <c r="G2185" s="30"/>
      <c r="H2185" s="30"/>
      <c r="I2185" s="30"/>
      <c r="J2185" s="30"/>
      <c r="K2185" s="30"/>
      <c r="L2185" s="30"/>
      <c r="M2185" s="30"/>
      <c r="N2185" s="30"/>
      <c r="O2185" s="30"/>
      <c r="P2185" s="30"/>
      <c r="Q2185" s="30"/>
      <c r="R2185" s="30"/>
    </row>
    <row r="2188" spans="1:19" x14ac:dyDescent="0.35">
      <c r="A2188" s="30"/>
      <c r="B2188" s="30"/>
      <c r="C2188" s="30"/>
      <c r="D2188" s="30"/>
      <c r="E2188" s="30"/>
      <c r="F2188" s="30"/>
      <c r="G2188" s="30"/>
      <c r="H2188" s="30"/>
      <c r="I2188" s="30"/>
      <c r="J2188" s="30"/>
      <c r="K2188" s="30"/>
      <c r="P2188" s="30"/>
      <c r="Q2188" s="30"/>
      <c r="R2188" s="30"/>
    </row>
    <row r="2189" spans="1:19" x14ac:dyDescent="0.35">
      <c r="A2189" s="30"/>
      <c r="B2189" s="30"/>
      <c r="C2189" s="30"/>
      <c r="D2189" s="30"/>
      <c r="E2189" s="30"/>
      <c r="F2189" s="30"/>
      <c r="G2189" s="30"/>
      <c r="H2189" s="30"/>
      <c r="I2189" s="30"/>
      <c r="J2189" s="30"/>
      <c r="K2189" s="30"/>
      <c r="L2189" s="30"/>
      <c r="M2189" s="30"/>
      <c r="N2189" s="30"/>
      <c r="O2189" s="30"/>
      <c r="P2189" s="30"/>
      <c r="Q2189" s="30"/>
      <c r="R2189" s="30"/>
      <c r="S2189" s="30"/>
    </row>
    <row r="2195" spans="1:19" x14ac:dyDescent="0.35">
      <c r="S2195" s="30"/>
    </row>
    <row r="2198" spans="1:19" x14ac:dyDescent="0.35">
      <c r="A2198" s="30"/>
      <c r="B2198" s="30"/>
      <c r="C2198" s="30"/>
      <c r="D2198" s="30"/>
      <c r="E2198" s="30"/>
      <c r="F2198" s="30"/>
      <c r="G2198" s="30"/>
      <c r="H2198" s="30"/>
      <c r="I2198" s="30"/>
      <c r="J2198" s="30"/>
      <c r="K2198" s="30"/>
      <c r="L2198" s="30"/>
      <c r="M2198" s="30"/>
      <c r="N2198" s="30"/>
      <c r="O2198" s="30"/>
      <c r="P2198" s="30"/>
      <c r="Q2198" s="30"/>
      <c r="R2198" s="30"/>
    </row>
    <row r="2199" spans="1:19" x14ac:dyDescent="0.35">
      <c r="A2199" s="30"/>
      <c r="B2199" s="30"/>
      <c r="C2199" s="30"/>
      <c r="D2199" s="30"/>
      <c r="E2199" s="30"/>
      <c r="F2199" s="30"/>
      <c r="G2199" s="30"/>
      <c r="H2199" s="30"/>
      <c r="I2199" s="30"/>
      <c r="J2199" s="30"/>
      <c r="K2199" s="30"/>
      <c r="L2199" s="30"/>
      <c r="M2199" s="30"/>
      <c r="N2199" s="30"/>
      <c r="O2199" s="30"/>
      <c r="P2199" s="30"/>
      <c r="Q2199" s="30"/>
      <c r="R2199" s="30"/>
    </row>
    <row r="2202" spans="1:19" x14ac:dyDescent="0.35">
      <c r="A2202" s="30"/>
      <c r="B2202" s="30"/>
      <c r="C2202" s="30"/>
      <c r="D2202" s="30"/>
      <c r="E2202" s="30"/>
      <c r="F2202" s="30"/>
      <c r="G2202" s="30"/>
      <c r="H2202" s="30"/>
      <c r="I2202" s="30"/>
      <c r="J2202" s="30"/>
      <c r="K2202" s="30"/>
      <c r="L2202" s="30"/>
      <c r="M2202" s="30"/>
      <c r="N2202" s="30"/>
      <c r="O2202" s="30"/>
      <c r="P2202" s="30"/>
      <c r="Q2202" s="30"/>
      <c r="R2202" s="30"/>
      <c r="S2202" s="30"/>
    </row>
    <row r="2203" spans="1:19" x14ac:dyDescent="0.35">
      <c r="A2203" s="30"/>
      <c r="B2203" s="30"/>
      <c r="C2203" s="30"/>
      <c r="D2203" s="30"/>
      <c r="E2203" s="30"/>
      <c r="F2203" s="30"/>
      <c r="G2203" s="30"/>
      <c r="H2203" s="30"/>
      <c r="I2203" s="30"/>
      <c r="J2203" s="30"/>
      <c r="K2203" s="30"/>
      <c r="L2203" s="30"/>
      <c r="M2203" s="30"/>
      <c r="N2203" s="30"/>
      <c r="O2203" s="30"/>
      <c r="P2203" s="30"/>
      <c r="Q2203" s="30"/>
      <c r="R2203" s="30"/>
    </row>
    <row r="2204" spans="1:19" x14ac:dyDescent="0.35">
      <c r="A2204" s="30"/>
      <c r="B2204" s="30"/>
      <c r="C2204" s="30"/>
      <c r="D2204" s="30"/>
      <c r="E2204" s="30"/>
      <c r="F2204" s="30"/>
      <c r="G2204" s="30"/>
      <c r="H2204" s="30"/>
      <c r="I2204" s="30"/>
      <c r="J2204" s="30"/>
      <c r="K2204" s="30"/>
      <c r="L2204" s="30"/>
      <c r="M2204" s="30"/>
      <c r="N2204" s="30"/>
      <c r="O2204" s="30"/>
      <c r="P2204" s="30"/>
      <c r="Q2204" s="30"/>
      <c r="R2204" s="30"/>
    </row>
    <row r="2207" spans="1:19" x14ac:dyDescent="0.35">
      <c r="A2207" s="30"/>
      <c r="B2207" s="30"/>
      <c r="C2207" s="30"/>
      <c r="D2207" s="30"/>
      <c r="E2207" s="30"/>
      <c r="F2207" s="30"/>
      <c r="G2207" s="30"/>
      <c r="H2207" s="30"/>
      <c r="I2207" s="30"/>
      <c r="J2207" s="30"/>
      <c r="K2207" s="30"/>
      <c r="L2207" s="30"/>
      <c r="M2207" s="30"/>
      <c r="N2207" s="30"/>
      <c r="O2207" s="30"/>
      <c r="P2207" s="30"/>
      <c r="Q2207" s="30"/>
      <c r="R2207" s="30"/>
    </row>
    <row r="2210" spans="1:19" x14ac:dyDescent="0.35">
      <c r="A2210" s="30"/>
      <c r="B2210" s="30"/>
      <c r="C2210" s="30"/>
      <c r="D2210" s="30"/>
      <c r="E2210" s="30"/>
      <c r="F2210" s="30"/>
      <c r="G2210" s="30"/>
      <c r="H2210" s="30"/>
      <c r="I2210" s="30"/>
      <c r="J2210" s="30"/>
      <c r="K2210" s="30"/>
      <c r="L2210" s="30"/>
      <c r="M2210" s="30"/>
      <c r="N2210" s="30"/>
      <c r="O2210" s="30"/>
      <c r="P2210" s="30"/>
      <c r="Q2210" s="30"/>
      <c r="R2210" s="30"/>
    </row>
    <row r="2211" spans="1:19" x14ac:dyDescent="0.35">
      <c r="A2211" s="30"/>
      <c r="B2211" s="30"/>
      <c r="C2211" s="30"/>
      <c r="D2211" s="30"/>
      <c r="E2211" s="30"/>
      <c r="F2211" s="30"/>
      <c r="G2211" s="30"/>
      <c r="H2211" s="30"/>
      <c r="I2211" s="30"/>
      <c r="J2211" s="30"/>
      <c r="K2211" s="30"/>
      <c r="L2211" s="30"/>
      <c r="M2211" s="30"/>
      <c r="N2211" s="30"/>
      <c r="O2211" s="30"/>
      <c r="P2211" s="30"/>
      <c r="Q2211" s="30"/>
      <c r="R2211" s="30"/>
    </row>
    <row r="2212" spans="1:19" x14ac:dyDescent="0.35">
      <c r="A2212" s="30"/>
      <c r="B2212" s="30"/>
      <c r="C2212" s="30"/>
      <c r="D2212" s="30"/>
      <c r="E2212" s="30"/>
      <c r="F2212" s="30"/>
      <c r="G2212" s="30"/>
      <c r="H2212" s="30"/>
      <c r="I2212" s="30"/>
      <c r="J2212" s="30"/>
      <c r="K2212" s="30"/>
      <c r="L2212" s="30"/>
      <c r="M2212" s="30"/>
      <c r="N2212" s="30"/>
      <c r="O2212" s="30"/>
      <c r="P2212" s="30"/>
      <c r="Q2212" s="30"/>
      <c r="R2212" s="30"/>
    </row>
    <row r="2217" spans="1:19" x14ac:dyDescent="0.35">
      <c r="A2217" s="30"/>
      <c r="B2217" s="30"/>
      <c r="C2217" s="30"/>
      <c r="D2217" s="30"/>
      <c r="E2217" s="30"/>
      <c r="F2217" s="30"/>
      <c r="G2217" s="30"/>
      <c r="H2217" s="30"/>
      <c r="I2217" s="30"/>
      <c r="J2217" s="30"/>
      <c r="K2217" s="30"/>
      <c r="L2217" s="30"/>
      <c r="M2217" s="30"/>
      <c r="N2217" s="30"/>
      <c r="O2217" s="30"/>
      <c r="P2217" s="30"/>
      <c r="Q2217" s="30"/>
      <c r="R2217" s="30"/>
      <c r="S2217" s="30"/>
    </row>
    <row r="2220" spans="1:19" x14ac:dyDescent="0.35">
      <c r="A2220" s="30"/>
      <c r="B2220" s="30"/>
      <c r="C2220" s="30"/>
      <c r="D2220" s="30"/>
      <c r="E2220" s="30"/>
      <c r="F2220" s="30"/>
      <c r="G2220" s="30"/>
      <c r="H2220" s="30"/>
      <c r="I2220" s="30"/>
      <c r="J2220" s="30"/>
      <c r="K2220" s="30"/>
      <c r="L2220" s="30"/>
      <c r="M2220" s="30"/>
      <c r="N2220" s="30"/>
      <c r="O2220" s="30"/>
      <c r="P2220" s="30"/>
      <c r="Q2220" s="30"/>
      <c r="R2220" s="30"/>
    </row>
    <row r="2221" spans="1:19" x14ac:dyDescent="0.35">
      <c r="A2221" s="30"/>
      <c r="B2221" s="30"/>
      <c r="C2221" s="30"/>
      <c r="D2221" s="30"/>
      <c r="E2221" s="30"/>
      <c r="F2221" s="30"/>
      <c r="G2221" s="30"/>
      <c r="H2221" s="30"/>
      <c r="I2221" s="30"/>
      <c r="J2221" s="30"/>
      <c r="K2221" s="30"/>
      <c r="L2221" s="30"/>
      <c r="M2221" s="30"/>
      <c r="N2221" s="30"/>
      <c r="O2221" s="30"/>
      <c r="P2221" s="30"/>
      <c r="Q2221" s="30"/>
      <c r="R2221" s="30"/>
      <c r="S2221" s="30"/>
    </row>
    <row r="2226" spans="1:19" x14ac:dyDescent="0.35">
      <c r="A2226" s="30"/>
      <c r="B2226" s="30"/>
      <c r="C2226" s="30"/>
      <c r="D2226" s="30"/>
      <c r="E2226" s="30"/>
      <c r="F2226" s="30"/>
      <c r="G2226" s="30"/>
      <c r="H2226" s="30"/>
      <c r="I2226" s="30"/>
      <c r="J2226" s="30"/>
      <c r="K2226" s="30"/>
      <c r="L2226" s="30"/>
      <c r="M2226" s="30"/>
      <c r="N2226" s="30"/>
      <c r="O2226" s="30"/>
      <c r="P2226" s="30"/>
      <c r="Q2226" s="30"/>
      <c r="R2226" s="30"/>
    </row>
    <row r="2228" spans="1:19" x14ac:dyDescent="0.35">
      <c r="A2228" s="30"/>
      <c r="B2228" s="30"/>
      <c r="C2228" s="30"/>
      <c r="D2228" s="30"/>
      <c r="E2228" s="30"/>
      <c r="F2228" s="30"/>
      <c r="G2228" s="30"/>
      <c r="H2228" s="30"/>
      <c r="I2228" s="30"/>
      <c r="J2228" s="30"/>
      <c r="K2228" s="30"/>
      <c r="L2228" s="30"/>
      <c r="M2228" s="30"/>
      <c r="N2228" s="30"/>
      <c r="O2228" s="30"/>
      <c r="P2228" s="30"/>
      <c r="Q2228" s="30"/>
      <c r="R2228" s="30"/>
    </row>
    <row r="2230" spans="1:19" x14ac:dyDescent="0.35">
      <c r="A2230" s="30"/>
      <c r="B2230" s="30"/>
      <c r="C2230" s="30"/>
      <c r="D2230" s="30"/>
      <c r="E2230" s="30"/>
      <c r="F2230" s="30"/>
      <c r="G2230" s="30"/>
      <c r="H2230" s="30"/>
      <c r="I2230" s="30"/>
      <c r="J2230" s="30"/>
      <c r="K2230" s="30"/>
      <c r="L2230" s="30"/>
      <c r="M2230" s="30"/>
      <c r="N2230" s="30"/>
      <c r="O2230" s="30"/>
      <c r="P2230" s="30"/>
      <c r="Q2230" s="30"/>
      <c r="R2230" s="30"/>
    </row>
    <row r="2234" spans="1:19" x14ac:dyDescent="0.35">
      <c r="S2234" s="30"/>
    </row>
    <row r="2236" spans="1:19" x14ac:dyDescent="0.35">
      <c r="A2236" s="30"/>
      <c r="B2236" s="30"/>
      <c r="C2236" s="30"/>
      <c r="D2236" s="30"/>
      <c r="E2236" s="30"/>
      <c r="F2236" s="30"/>
      <c r="G2236" s="30"/>
      <c r="H2236" s="30"/>
      <c r="I2236" s="30"/>
      <c r="J2236" s="30"/>
      <c r="K2236" s="30"/>
      <c r="L2236" s="30"/>
      <c r="M2236" s="30"/>
      <c r="N2236" s="30"/>
      <c r="O2236" s="30"/>
      <c r="P2236" s="30"/>
      <c r="Q2236" s="30"/>
      <c r="R2236" s="30"/>
      <c r="S2236" s="30"/>
    </row>
    <row r="2237" spans="1:19" x14ac:dyDescent="0.35">
      <c r="A2237" s="30"/>
      <c r="B2237" s="30"/>
      <c r="C2237" s="30"/>
      <c r="D2237" s="30"/>
      <c r="E2237" s="30"/>
      <c r="F2237" s="30"/>
      <c r="G2237" s="30"/>
      <c r="H2237" s="30"/>
      <c r="I2237" s="30"/>
      <c r="J2237" s="30"/>
      <c r="K2237" s="30"/>
      <c r="L2237" s="30"/>
      <c r="M2237" s="30"/>
      <c r="N2237" s="30"/>
      <c r="O2237" s="30"/>
      <c r="P2237" s="30"/>
      <c r="Q2237" s="30"/>
      <c r="R2237" s="30"/>
    </row>
    <row r="2238" spans="1:19" x14ac:dyDescent="0.35">
      <c r="A2238" s="30"/>
      <c r="B2238" s="30"/>
      <c r="C2238" s="30"/>
      <c r="D2238" s="30"/>
      <c r="E2238" s="30"/>
      <c r="F2238" s="30"/>
      <c r="G2238" s="30"/>
      <c r="H2238" s="30"/>
      <c r="I2238" s="30"/>
      <c r="J2238" s="30"/>
      <c r="K2238" s="30"/>
      <c r="L2238" s="30"/>
      <c r="M2238" s="30"/>
      <c r="N2238" s="30"/>
      <c r="O2238" s="30"/>
      <c r="P2238" s="30"/>
      <c r="Q2238" s="30"/>
      <c r="R2238" s="30"/>
    </row>
    <row r="2241" spans="1:19" x14ac:dyDescent="0.35">
      <c r="A2241" s="30"/>
      <c r="B2241" s="30"/>
      <c r="C2241" s="30"/>
      <c r="D2241" s="30"/>
      <c r="E2241" s="30"/>
      <c r="F2241" s="30"/>
      <c r="G2241" s="30"/>
      <c r="H2241" s="30"/>
      <c r="I2241" s="30"/>
      <c r="J2241" s="30"/>
      <c r="K2241" s="30"/>
      <c r="L2241" s="30"/>
      <c r="M2241" s="30"/>
      <c r="N2241" s="30"/>
      <c r="O2241" s="30"/>
      <c r="P2241" s="30"/>
      <c r="Q2241" s="30"/>
      <c r="R2241" s="30"/>
    </row>
    <row r="2242" spans="1:19" x14ac:dyDescent="0.35">
      <c r="A2242" s="30"/>
      <c r="B2242" s="30"/>
      <c r="C2242" s="30"/>
      <c r="D2242" s="30"/>
      <c r="E2242" s="30"/>
      <c r="F2242" s="30"/>
      <c r="G2242" s="30"/>
      <c r="H2242" s="30"/>
      <c r="I2242" s="30"/>
      <c r="J2242" s="30"/>
      <c r="K2242" s="30"/>
      <c r="L2242" s="30"/>
      <c r="M2242" s="30"/>
      <c r="N2242" s="30"/>
      <c r="O2242" s="30"/>
      <c r="P2242" s="30"/>
      <c r="Q2242" s="30"/>
      <c r="R2242" s="30"/>
    </row>
    <row r="2247" spans="1:19" x14ac:dyDescent="0.35">
      <c r="A2247" s="30"/>
      <c r="B2247" s="30"/>
      <c r="C2247" s="30"/>
      <c r="D2247" s="30"/>
      <c r="E2247" s="30"/>
      <c r="F2247" s="30"/>
      <c r="G2247" s="30"/>
      <c r="H2247" s="30"/>
      <c r="I2247" s="30"/>
      <c r="J2247" s="30"/>
      <c r="K2247" s="30"/>
      <c r="L2247" s="30"/>
      <c r="M2247" s="30"/>
      <c r="N2247" s="30"/>
      <c r="O2247" s="30"/>
      <c r="P2247" s="30"/>
      <c r="Q2247" s="30"/>
      <c r="R2247" s="30"/>
    </row>
    <row r="2249" spans="1:19" x14ac:dyDescent="0.35">
      <c r="A2249" s="30"/>
      <c r="B2249" s="30"/>
      <c r="C2249" s="30"/>
      <c r="D2249" s="30"/>
      <c r="E2249" s="30"/>
      <c r="F2249" s="30"/>
      <c r="G2249" s="30"/>
      <c r="H2249" s="30"/>
      <c r="I2249" s="30"/>
      <c r="J2249" s="30"/>
      <c r="K2249" s="30"/>
      <c r="L2249" s="30"/>
      <c r="M2249" s="30"/>
      <c r="N2249" s="30"/>
      <c r="O2249" s="30"/>
      <c r="P2249" s="30"/>
      <c r="Q2249" s="30"/>
      <c r="R2249" s="30"/>
    </row>
    <row r="2253" spans="1:19" x14ac:dyDescent="0.35">
      <c r="S2253" s="30"/>
    </row>
    <row r="2254" spans="1:19" x14ac:dyDescent="0.35">
      <c r="A2254" s="30"/>
      <c r="B2254" s="30"/>
      <c r="C2254" s="30"/>
      <c r="D2254" s="30"/>
      <c r="E2254" s="30"/>
      <c r="F2254" s="30"/>
      <c r="G2254" s="30"/>
      <c r="H2254" s="30"/>
      <c r="I2254" s="30"/>
      <c r="J2254" s="30"/>
      <c r="K2254" s="30"/>
      <c r="L2254" s="30"/>
      <c r="M2254" s="30"/>
      <c r="N2254" s="30"/>
      <c r="O2254" s="30"/>
      <c r="P2254" s="30"/>
      <c r="Q2254" s="30"/>
      <c r="R2254" s="30"/>
    </row>
    <row r="2257" spans="1:19" x14ac:dyDescent="0.35">
      <c r="A2257" s="30"/>
      <c r="B2257" s="30"/>
      <c r="C2257" s="30"/>
      <c r="D2257" s="30"/>
      <c r="E2257" s="30"/>
      <c r="F2257" s="30"/>
      <c r="G2257" s="30"/>
      <c r="H2257" s="30"/>
      <c r="I2257" s="30"/>
      <c r="J2257" s="30"/>
      <c r="K2257" s="30"/>
      <c r="L2257" s="30"/>
      <c r="M2257" s="30"/>
      <c r="N2257" s="30"/>
      <c r="O2257" s="30"/>
      <c r="P2257" s="30"/>
      <c r="Q2257" s="30"/>
      <c r="R2257" s="30"/>
      <c r="S2257" s="30"/>
    </row>
    <row r="2258" spans="1:19" x14ac:dyDescent="0.35">
      <c r="S2258" s="20"/>
    </row>
    <row r="2259" spans="1:19" x14ac:dyDescent="0.35">
      <c r="A2259" s="30"/>
      <c r="B2259" s="30"/>
      <c r="C2259" s="30"/>
      <c r="D2259" s="30"/>
      <c r="E2259" s="30"/>
      <c r="F2259" s="30"/>
      <c r="G2259" s="30"/>
      <c r="H2259" s="30"/>
      <c r="I2259" s="30"/>
      <c r="J2259" s="30"/>
      <c r="K2259" s="30"/>
      <c r="L2259" s="30"/>
      <c r="M2259" s="30"/>
      <c r="N2259" s="30"/>
      <c r="O2259" s="30"/>
      <c r="P2259" s="30"/>
      <c r="Q2259" s="30"/>
      <c r="R2259" s="30"/>
      <c r="S2259" s="20"/>
    </row>
    <row r="2260" spans="1:19" x14ac:dyDescent="0.35">
      <c r="S2260" s="20"/>
    </row>
    <row r="2261" spans="1:19" x14ac:dyDescent="0.35">
      <c r="S2261" s="20"/>
    </row>
    <row r="2262" spans="1:19" x14ac:dyDescent="0.35">
      <c r="S2262" s="20"/>
    </row>
    <row r="2263" spans="1:19" x14ac:dyDescent="0.35">
      <c r="A2263" s="30"/>
      <c r="B2263" s="30"/>
      <c r="C2263" s="30"/>
      <c r="D2263" s="30"/>
      <c r="E2263" s="30"/>
      <c r="F2263" s="30"/>
      <c r="G2263" s="30"/>
      <c r="H2263" s="30"/>
      <c r="I2263" s="30"/>
      <c r="J2263" s="30"/>
      <c r="K2263" s="30"/>
      <c r="O2263" s="30"/>
      <c r="P2263" s="30"/>
      <c r="Q2263" s="30"/>
      <c r="R2263" s="30"/>
      <c r="S2263" s="20"/>
    </row>
    <row r="2264" spans="1:19" x14ac:dyDescent="0.35">
      <c r="A2264" s="30"/>
      <c r="B2264" s="30"/>
      <c r="C2264" s="30"/>
      <c r="D2264" s="30"/>
      <c r="E2264" s="30"/>
      <c r="F2264" s="30"/>
      <c r="G2264" s="30"/>
      <c r="H2264" s="30"/>
      <c r="I2264" s="30"/>
      <c r="J2264" s="30"/>
      <c r="K2264" s="30"/>
      <c r="L2264" s="30"/>
      <c r="M2264" s="30"/>
      <c r="N2264" s="30"/>
      <c r="O2264" s="30"/>
      <c r="P2264" s="30"/>
      <c r="Q2264" s="30"/>
      <c r="R2264" s="30"/>
      <c r="S2264" s="20"/>
    </row>
    <row r="2265" spans="1:19" x14ac:dyDescent="0.35">
      <c r="S2265" s="20"/>
    </row>
    <row r="2266" spans="1:19" x14ac:dyDescent="0.35">
      <c r="S2266" s="20"/>
    </row>
    <row r="2267" spans="1:19" x14ac:dyDescent="0.35">
      <c r="S2267" s="20"/>
    </row>
    <row r="2268" spans="1:19" x14ac:dyDescent="0.35">
      <c r="S2268" s="20"/>
    </row>
    <row r="2269" spans="1:19" x14ac:dyDescent="0.35">
      <c r="S2269" s="20"/>
    </row>
    <row r="2270" spans="1:19" x14ac:dyDescent="0.35">
      <c r="S2270" s="18"/>
    </row>
    <row r="2271" spans="1:19" x14ac:dyDescent="0.35">
      <c r="S2271" s="18"/>
    </row>
    <row r="2272" spans="1:19" x14ac:dyDescent="0.35">
      <c r="A2272" s="30"/>
      <c r="B2272" s="30"/>
      <c r="C2272" s="30"/>
      <c r="D2272" s="30"/>
      <c r="E2272" s="30"/>
      <c r="F2272" s="30"/>
      <c r="G2272" s="30"/>
      <c r="H2272" s="30"/>
      <c r="I2272" s="30"/>
      <c r="J2272" s="30"/>
      <c r="K2272" s="30"/>
      <c r="L2272" s="30"/>
      <c r="M2272" s="30"/>
      <c r="N2272" s="30"/>
      <c r="O2272" s="30"/>
      <c r="P2272" s="30"/>
      <c r="Q2272" s="30"/>
      <c r="R2272" s="30"/>
      <c r="S2272" s="20"/>
    </row>
    <row r="2273" spans="1:19" x14ac:dyDescent="0.35">
      <c r="A2273" s="30"/>
      <c r="B2273" s="30"/>
      <c r="C2273" s="30"/>
      <c r="D2273" s="30"/>
      <c r="E2273" s="30"/>
      <c r="F2273" s="30"/>
      <c r="G2273" s="30"/>
      <c r="H2273" s="30"/>
      <c r="I2273" s="30"/>
      <c r="J2273" s="30"/>
      <c r="K2273" s="30"/>
      <c r="L2273" s="30"/>
      <c r="M2273" s="30"/>
      <c r="N2273" s="30"/>
      <c r="O2273" s="30"/>
      <c r="P2273" s="30"/>
      <c r="Q2273" s="30"/>
      <c r="R2273" s="30"/>
      <c r="S2273" s="20"/>
    </row>
    <row r="2274" spans="1:19" x14ac:dyDescent="0.35">
      <c r="A2274" s="30"/>
      <c r="B2274" s="30"/>
      <c r="C2274" s="30"/>
      <c r="D2274" s="30"/>
      <c r="E2274" s="30"/>
      <c r="F2274" s="30"/>
      <c r="G2274" s="30"/>
      <c r="H2274" s="30"/>
      <c r="I2274" s="30"/>
      <c r="J2274" s="30"/>
      <c r="K2274" s="30"/>
      <c r="L2274" s="30"/>
      <c r="M2274" s="30"/>
      <c r="N2274" s="30"/>
      <c r="O2274" s="30"/>
      <c r="P2274" s="30"/>
      <c r="Q2274" s="30"/>
      <c r="R2274" s="30"/>
      <c r="S2274" s="20"/>
    </row>
    <row r="2275" spans="1:19" x14ac:dyDescent="0.35">
      <c r="A2275" s="30"/>
      <c r="B2275" s="30"/>
      <c r="C2275" s="30"/>
      <c r="D2275" s="30"/>
      <c r="E2275" s="30"/>
      <c r="F2275" s="30"/>
      <c r="G2275" s="30"/>
      <c r="H2275" s="30"/>
      <c r="I2275" s="30"/>
      <c r="J2275" s="30"/>
      <c r="K2275" s="30"/>
      <c r="L2275" s="30"/>
      <c r="M2275" s="30"/>
      <c r="N2275" s="30"/>
      <c r="O2275" s="30"/>
      <c r="P2275" s="30"/>
      <c r="Q2275" s="30"/>
      <c r="R2275" s="30"/>
      <c r="S2275" s="18"/>
    </row>
    <row r="2276" spans="1:19" x14ac:dyDescent="0.35">
      <c r="A2276" s="30"/>
      <c r="B2276" s="30"/>
      <c r="C2276" s="30"/>
      <c r="D2276" s="30"/>
      <c r="E2276" s="30"/>
      <c r="F2276" s="30"/>
      <c r="G2276" s="30"/>
      <c r="H2276" s="30"/>
      <c r="I2276" s="30"/>
      <c r="J2276" s="30"/>
      <c r="K2276" s="30"/>
      <c r="L2276" s="30"/>
      <c r="M2276" s="30"/>
      <c r="N2276" s="30"/>
      <c r="O2276" s="30"/>
      <c r="P2276" s="30"/>
      <c r="Q2276" s="30"/>
      <c r="R2276" s="30"/>
      <c r="S2276" s="20"/>
    </row>
    <row r="2277" spans="1:19" x14ac:dyDescent="0.35">
      <c r="A2277" s="30"/>
      <c r="B2277" s="30"/>
      <c r="C2277" s="30"/>
      <c r="D2277" s="30"/>
      <c r="E2277" s="30"/>
      <c r="F2277" s="30"/>
      <c r="G2277" s="30"/>
      <c r="H2277" s="30"/>
      <c r="I2277" s="30"/>
      <c r="J2277" s="30"/>
      <c r="K2277" s="30"/>
      <c r="L2277" s="30"/>
      <c r="M2277" s="30"/>
      <c r="N2277" s="30"/>
      <c r="O2277" s="30"/>
      <c r="P2277" s="30"/>
      <c r="Q2277" s="30"/>
      <c r="R2277" s="30"/>
      <c r="S2277" s="20"/>
    </row>
    <row r="2278" spans="1:19" x14ac:dyDescent="0.35">
      <c r="S2278" s="20"/>
    </row>
    <row r="2279" spans="1:19" x14ac:dyDescent="0.35">
      <c r="S2279" s="20"/>
    </row>
    <row r="2280" spans="1:19" x14ac:dyDescent="0.35">
      <c r="S2280" s="20"/>
    </row>
    <row r="2281" spans="1:19" x14ac:dyDescent="0.35">
      <c r="A2281" s="30"/>
      <c r="B2281" s="30"/>
      <c r="C2281" s="30"/>
      <c r="D2281" s="30"/>
      <c r="E2281" s="30"/>
      <c r="F2281" s="30"/>
      <c r="G2281" s="30"/>
      <c r="H2281" s="30"/>
      <c r="I2281" s="30"/>
      <c r="J2281" s="30"/>
      <c r="K2281" s="30"/>
      <c r="O2281" s="30"/>
      <c r="P2281" s="30"/>
      <c r="Q2281" s="30"/>
      <c r="R2281" s="30"/>
      <c r="S2281" s="20"/>
    </row>
    <row r="2282" spans="1:19" x14ac:dyDescent="0.35">
      <c r="S2282" s="20"/>
    </row>
    <row r="2283" spans="1:19" x14ac:dyDescent="0.35">
      <c r="A2283" s="30"/>
      <c r="B2283" s="30"/>
      <c r="C2283" s="30"/>
      <c r="D2283" s="30"/>
      <c r="E2283" s="30"/>
      <c r="F2283" s="30"/>
      <c r="G2283" s="30"/>
      <c r="H2283" s="30"/>
      <c r="I2283" s="30"/>
      <c r="J2283" s="30"/>
      <c r="K2283" s="30"/>
      <c r="L2283" s="30"/>
      <c r="M2283" s="30"/>
      <c r="N2283" s="30"/>
      <c r="O2283" s="30"/>
      <c r="P2283" s="30"/>
      <c r="Q2283" s="30"/>
      <c r="R2283" s="30"/>
      <c r="S2283" s="18"/>
    </row>
    <row r="2284" spans="1:19" x14ac:dyDescent="0.35">
      <c r="S2284" s="20"/>
    </row>
    <row r="2285" spans="1:19" x14ac:dyDescent="0.35">
      <c r="A2285" s="30"/>
      <c r="B2285" s="30"/>
      <c r="C2285" s="30"/>
      <c r="D2285" s="30"/>
      <c r="E2285" s="30"/>
      <c r="F2285" s="30"/>
      <c r="G2285" s="30"/>
      <c r="H2285" s="30"/>
      <c r="I2285" s="30"/>
      <c r="J2285" s="30"/>
      <c r="K2285" s="30"/>
      <c r="L2285" s="30"/>
      <c r="M2285" s="30"/>
      <c r="N2285" s="30"/>
      <c r="O2285" s="30"/>
      <c r="P2285" s="30"/>
      <c r="Q2285" s="30"/>
      <c r="R2285" s="30"/>
      <c r="S2285" s="20"/>
    </row>
    <row r="2286" spans="1:19" x14ac:dyDescent="0.35">
      <c r="S2286" s="20"/>
    </row>
    <row r="2287" spans="1:19" x14ac:dyDescent="0.35">
      <c r="S2287" s="20"/>
    </row>
    <row r="2288" spans="1:19" x14ac:dyDescent="0.35">
      <c r="S2288" s="20"/>
    </row>
    <row r="2289" spans="1:19" x14ac:dyDescent="0.35">
      <c r="S2289" s="18"/>
    </row>
    <row r="2290" spans="1:19" x14ac:dyDescent="0.35">
      <c r="S2290" s="20"/>
    </row>
    <row r="2291" spans="1:19" x14ac:dyDescent="0.35">
      <c r="S2291" s="20"/>
    </row>
    <row r="2292" spans="1:19" x14ac:dyDescent="0.35">
      <c r="S2292" s="20"/>
    </row>
    <row r="2293" spans="1:19" x14ac:dyDescent="0.35">
      <c r="S2293" s="20"/>
    </row>
    <row r="2294" spans="1:19" x14ac:dyDescent="0.35">
      <c r="A2294" s="30"/>
      <c r="B2294" s="30"/>
      <c r="C2294" s="30"/>
      <c r="D2294" s="30"/>
      <c r="E2294" s="30"/>
      <c r="F2294" s="30"/>
      <c r="G2294" s="30"/>
      <c r="H2294" s="30"/>
      <c r="I2294" s="30"/>
      <c r="J2294" s="30"/>
      <c r="K2294" s="30"/>
      <c r="L2294" s="30"/>
      <c r="M2294" s="30"/>
      <c r="N2294" s="30"/>
      <c r="O2294" s="30"/>
      <c r="P2294" s="30"/>
      <c r="Q2294" s="30"/>
      <c r="R2294" s="30"/>
      <c r="S2294" s="18"/>
    </row>
    <row r="2295" spans="1:19" x14ac:dyDescent="0.35">
      <c r="A2295" s="30"/>
      <c r="B2295" s="30"/>
      <c r="C2295" s="30"/>
      <c r="D2295" s="30"/>
      <c r="E2295" s="30"/>
      <c r="F2295" s="30"/>
      <c r="G2295" s="30"/>
      <c r="H2295" s="30"/>
      <c r="I2295" s="30"/>
      <c r="J2295" s="30"/>
      <c r="K2295" s="30"/>
      <c r="L2295" s="30"/>
      <c r="M2295" s="30"/>
      <c r="N2295" s="30"/>
      <c r="O2295" s="30"/>
      <c r="P2295" s="30"/>
      <c r="Q2295" s="30"/>
      <c r="R2295" s="30"/>
      <c r="S2295" s="20"/>
    </row>
    <row r="2296" spans="1:19" x14ac:dyDescent="0.35">
      <c r="A2296" s="30"/>
      <c r="B2296" s="30"/>
      <c r="C2296" s="30"/>
      <c r="D2296" s="30"/>
      <c r="E2296" s="30"/>
      <c r="F2296" s="30"/>
      <c r="G2296" s="30"/>
      <c r="H2296" s="30"/>
      <c r="I2296" s="30"/>
      <c r="J2296" s="30"/>
      <c r="K2296" s="30"/>
      <c r="L2296" s="30"/>
      <c r="M2296" s="30"/>
      <c r="N2296" s="30"/>
      <c r="O2296" s="30"/>
      <c r="P2296" s="30"/>
      <c r="Q2296" s="30"/>
      <c r="R2296" s="30"/>
      <c r="S2296" s="20"/>
    </row>
    <row r="2297" spans="1:19" x14ac:dyDescent="0.35">
      <c r="S2297" s="20"/>
    </row>
    <row r="2298" spans="1:19" x14ac:dyDescent="0.35">
      <c r="A2298" s="30"/>
      <c r="B2298" s="30"/>
      <c r="C2298" s="30"/>
      <c r="D2298" s="30"/>
      <c r="E2298" s="30"/>
      <c r="F2298" s="30"/>
      <c r="G2298" s="30"/>
      <c r="H2298" s="30"/>
      <c r="I2298" s="30"/>
      <c r="J2298" s="30"/>
      <c r="K2298" s="30"/>
      <c r="L2298" s="30"/>
      <c r="M2298" s="30"/>
      <c r="N2298" s="30"/>
      <c r="O2298" s="30"/>
      <c r="P2298" s="30"/>
      <c r="Q2298" s="30"/>
      <c r="R2298" s="30"/>
      <c r="S2298" s="20"/>
    </row>
    <row r="2299" spans="1:19" x14ac:dyDescent="0.35">
      <c r="S2299" s="20"/>
    </row>
    <row r="2300" spans="1:19" x14ac:dyDescent="0.35">
      <c r="A2300" s="30"/>
      <c r="B2300" s="30"/>
      <c r="C2300" s="30"/>
      <c r="D2300" s="30"/>
      <c r="E2300" s="30"/>
      <c r="F2300" s="30"/>
      <c r="G2300" s="30"/>
      <c r="H2300" s="30"/>
      <c r="I2300" s="30"/>
      <c r="J2300" s="30"/>
      <c r="K2300" s="30"/>
      <c r="L2300" s="30"/>
      <c r="M2300" s="30"/>
      <c r="N2300" s="30"/>
      <c r="O2300" s="30"/>
      <c r="P2300" s="30"/>
      <c r="Q2300" s="30"/>
      <c r="R2300" s="30"/>
      <c r="S2300" s="20"/>
    </row>
    <row r="2301" spans="1:19" x14ac:dyDescent="0.35">
      <c r="A2301" s="30"/>
      <c r="B2301" s="30"/>
      <c r="C2301" s="30"/>
      <c r="D2301" s="30"/>
      <c r="E2301" s="30"/>
      <c r="F2301" s="30"/>
      <c r="G2301" s="30"/>
      <c r="H2301" s="30"/>
      <c r="I2301" s="30"/>
      <c r="J2301" s="30"/>
      <c r="K2301" s="30"/>
      <c r="L2301" s="30"/>
      <c r="M2301" s="30"/>
      <c r="N2301" s="30"/>
      <c r="O2301" s="30"/>
      <c r="P2301" s="30"/>
      <c r="Q2301" s="30"/>
      <c r="R2301" s="30"/>
      <c r="S2301" s="18"/>
    </row>
    <row r="2302" spans="1:19" x14ac:dyDescent="0.35">
      <c r="A2302" s="30"/>
      <c r="B2302" s="30"/>
      <c r="C2302" s="30"/>
      <c r="D2302" s="30"/>
      <c r="E2302" s="30"/>
      <c r="F2302" s="30"/>
      <c r="G2302" s="30"/>
      <c r="H2302" s="30"/>
      <c r="I2302" s="30"/>
      <c r="J2302" s="30"/>
      <c r="K2302" s="30"/>
      <c r="L2302" s="30"/>
      <c r="M2302" s="30"/>
      <c r="N2302" s="30"/>
      <c r="O2302" s="30"/>
      <c r="P2302" s="30"/>
      <c r="Q2302" s="30"/>
      <c r="R2302" s="30"/>
      <c r="S2302" s="18"/>
    </row>
    <row r="2303" spans="1:19" x14ac:dyDescent="0.35">
      <c r="S2303" s="20"/>
    </row>
    <row r="2304" spans="1:19" x14ac:dyDescent="0.35">
      <c r="S2304" s="20"/>
    </row>
    <row r="2305" spans="1:19" x14ac:dyDescent="0.35">
      <c r="A2305" s="82"/>
      <c r="B2305" s="19"/>
      <c r="C2305" s="19"/>
      <c r="D2305" s="19"/>
      <c r="E2305" s="19"/>
      <c r="F2305" s="19"/>
      <c r="G2305" s="19"/>
      <c r="H2305" s="19"/>
      <c r="I2305" s="19"/>
      <c r="J2305" s="19"/>
      <c r="K2305" s="19"/>
      <c r="L2305" s="19"/>
      <c r="M2305" s="19"/>
      <c r="N2305" s="19"/>
      <c r="O2305" s="19"/>
      <c r="P2305" s="19"/>
      <c r="Q2305" s="19"/>
      <c r="R2305" s="20"/>
      <c r="S2305" s="20"/>
    </row>
    <row r="2306" spans="1:19" x14ac:dyDescent="0.35">
      <c r="A2306" s="82"/>
      <c r="B2306" s="19"/>
      <c r="C2306" s="19"/>
      <c r="D2306" s="19"/>
      <c r="E2306" s="19"/>
      <c r="F2306" s="19"/>
      <c r="G2306" s="19"/>
      <c r="H2306" s="19"/>
      <c r="I2306" s="19"/>
      <c r="J2306" s="19"/>
      <c r="K2306" s="19"/>
      <c r="L2306" s="19"/>
      <c r="M2306" s="19"/>
      <c r="N2306" s="19"/>
      <c r="O2306" s="19"/>
      <c r="P2306" s="19"/>
      <c r="Q2306" s="19"/>
      <c r="R2306" s="20"/>
      <c r="S2306" s="18"/>
    </row>
    <row r="2307" spans="1:19" x14ac:dyDescent="0.35">
      <c r="A2307" s="82"/>
      <c r="B2307" s="19"/>
      <c r="C2307" s="19"/>
      <c r="D2307" s="19"/>
      <c r="E2307" s="19"/>
      <c r="F2307" s="19"/>
      <c r="G2307" s="19"/>
      <c r="H2307" s="19"/>
      <c r="I2307" s="19"/>
      <c r="J2307" s="19"/>
      <c r="K2307" s="19"/>
      <c r="L2307" s="19"/>
      <c r="M2307" s="19"/>
      <c r="N2307" s="19"/>
      <c r="O2307" s="19"/>
      <c r="P2307" s="19"/>
      <c r="Q2307" s="19"/>
      <c r="R2307" s="20"/>
      <c r="S2307" s="20"/>
    </row>
    <row r="2308" spans="1:19" x14ac:dyDescent="0.35">
      <c r="A2308" s="81"/>
      <c r="B2308" s="17"/>
      <c r="C2308" s="17"/>
      <c r="D2308" s="17"/>
      <c r="E2308" s="17"/>
      <c r="F2308" s="17"/>
      <c r="G2308" s="17"/>
      <c r="H2308" s="17"/>
      <c r="I2308" s="17"/>
      <c r="J2308" s="17"/>
      <c r="K2308" s="17"/>
      <c r="L2308" s="17"/>
      <c r="M2308" s="17"/>
      <c r="N2308" s="17"/>
      <c r="O2308" s="17"/>
      <c r="P2308" s="17"/>
      <c r="Q2308" s="17"/>
      <c r="R2308" s="18"/>
      <c r="S2308" s="20"/>
    </row>
    <row r="2309" spans="1:19" x14ac:dyDescent="0.35">
      <c r="A2309" s="81"/>
      <c r="B2309" s="17"/>
      <c r="C2309" s="17"/>
      <c r="D2309" s="17"/>
      <c r="E2309" s="17"/>
      <c r="F2309" s="17"/>
      <c r="G2309" s="17"/>
      <c r="H2309" s="17"/>
      <c r="I2309" s="17"/>
      <c r="J2309" s="17"/>
      <c r="K2309" s="17"/>
      <c r="L2309" s="17"/>
      <c r="M2309" s="17"/>
      <c r="N2309" s="17"/>
      <c r="O2309" s="17"/>
      <c r="P2309" s="17"/>
      <c r="Q2309" s="17"/>
      <c r="R2309" s="18"/>
      <c r="S2309" s="20"/>
    </row>
    <row r="2310" spans="1:19" x14ac:dyDescent="0.35">
      <c r="A2310" s="81"/>
      <c r="B2310" s="17"/>
      <c r="C2310" s="17"/>
      <c r="D2310" s="17"/>
      <c r="E2310" s="17"/>
      <c r="F2310" s="17"/>
      <c r="G2310" s="17"/>
      <c r="H2310" s="17"/>
      <c r="I2310" s="17"/>
      <c r="J2310" s="17"/>
      <c r="K2310" s="17"/>
      <c r="L2310" s="17"/>
      <c r="M2310" s="17"/>
      <c r="N2310" s="17"/>
      <c r="O2310" s="17"/>
      <c r="P2310" s="17"/>
      <c r="Q2310" s="17"/>
      <c r="R2310" s="18"/>
      <c r="S2310" s="20"/>
    </row>
    <row r="2311" spans="1:19" x14ac:dyDescent="0.35">
      <c r="A2311" s="82"/>
      <c r="B2311" s="19"/>
      <c r="C2311" s="19"/>
      <c r="D2311" s="19"/>
      <c r="E2311" s="19"/>
      <c r="F2311" s="19"/>
      <c r="G2311" s="19"/>
      <c r="H2311" s="19"/>
      <c r="I2311" s="19"/>
      <c r="J2311" s="19"/>
      <c r="K2311" s="19"/>
      <c r="L2311" s="19"/>
      <c r="M2311" s="19"/>
      <c r="N2311" s="19"/>
      <c r="O2311" s="19"/>
      <c r="P2311" s="19"/>
      <c r="Q2311" s="19"/>
      <c r="R2311" s="20"/>
      <c r="S2311" s="20"/>
    </row>
    <row r="2312" spans="1:19" x14ac:dyDescent="0.35">
      <c r="A2312" s="81"/>
      <c r="B2312" s="17"/>
      <c r="C2312" s="17"/>
      <c r="D2312" s="17"/>
      <c r="E2312" s="17"/>
      <c r="F2312" s="17"/>
      <c r="G2312" s="17"/>
      <c r="H2312" s="17"/>
      <c r="I2312" s="17"/>
      <c r="J2312" s="17"/>
      <c r="K2312" s="17"/>
      <c r="L2312" s="17"/>
      <c r="M2312" s="17"/>
      <c r="N2312" s="17"/>
      <c r="O2312" s="17"/>
      <c r="P2312" s="17"/>
      <c r="Q2312" s="17"/>
      <c r="R2312" s="18"/>
      <c r="S2312" s="18"/>
    </row>
    <row r="2313" spans="1:19" x14ac:dyDescent="0.35">
      <c r="A2313" s="82"/>
      <c r="B2313" s="19"/>
      <c r="C2313" s="19"/>
      <c r="D2313" s="19"/>
      <c r="E2313" s="19"/>
      <c r="F2313" s="19"/>
      <c r="G2313" s="19"/>
      <c r="H2313" s="19"/>
      <c r="I2313" s="19"/>
      <c r="J2313" s="19"/>
      <c r="K2313" s="19"/>
      <c r="L2313" s="19"/>
      <c r="M2313" s="19"/>
      <c r="N2313" s="19"/>
      <c r="O2313" s="19"/>
      <c r="P2313" s="19"/>
      <c r="Q2313" s="19"/>
      <c r="R2313" s="20"/>
      <c r="S2313" s="20"/>
    </row>
    <row r="2314" spans="1:19" x14ac:dyDescent="0.35">
      <c r="A2314" s="82"/>
      <c r="B2314" s="19"/>
      <c r="C2314" s="19"/>
      <c r="D2314" s="19"/>
      <c r="E2314" s="19"/>
      <c r="F2314" s="19"/>
      <c r="G2314" s="19"/>
      <c r="H2314" s="19"/>
      <c r="I2314" s="19"/>
      <c r="J2314" s="19"/>
      <c r="K2314" s="19"/>
      <c r="L2314" s="19"/>
      <c r="M2314" s="19"/>
      <c r="N2314" s="19"/>
      <c r="O2314" s="19"/>
      <c r="P2314" s="19"/>
      <c r="Q2314" s="19"/>
      <c r="R2314" s="20"/>
      <c r="S2314" s="20"/>
    </row>
    <row r="2315" spans="1:19" x14ac:dyDescent="0.35">
      <c r="A2315" s="82"/>
      <c r="B2315" s="19"/>
      <c r="C2315" s="19"/>
      <c r="D2315" s="19"/>
      <c r="E2315" s="19"/>
      <c r="F2315" s="19"/>
      <c r="G2315" s="19"/>
      <c r="H2315" s="19"/>
      <c r="I2315" s="19"/>
      <c r="J2315" s="19"/>
      <c r="K2315" s="19"/>
      <c r="L2315" s="19"/>
      <c r="M2315" s="19"/>
      <c r="N2315" s="19"/>
      <c r="O2315" s="19"/>
      <c r="P2315" s="19"/>
      <c r="Q2315" s="19"/>
      <c r="R2315" s="20"/>
      <c r="S2315" s="20"/>
    </row>
    <row r="2316" spans="1:19" x14ac:dyDescent="0.35">
      <c r="A2316" s="82"/>
      <c r="B2316" s="19"/>
      <c r="C2316" s="19"/>
      <c r="D2316" s="19"/>
      <c r="E2316" s="19"/>
      <c r="F2316" s="19"/>
      <c r="G2316" s="19"/>
      <c r="H2316" s="19"/>
      <c r="I2316" s="19"/>
      <c r="J2316" s="19"/>
      <c r="K2316" s="19"/>
      <c r="L2316" s="19"/>
      <c r="M2316" s="19"/>
      <c r="N2316" s="19"/>
      <c r="O2316" s="19"/>
      <c r="P2316" s="19"/>
      <c r="Q2316" s="19"/>
      <c r="R2316" s="20"/>
      <c r="S2316" s="20"/>
    </row>
    <row r="2317" spans="1:19" x14ac:dyDescent="0.35">
      <c r="A2317" s="81"/>
      <c r="B2317" s="17"/>
      <c r="C2317" s="17"/>
      <c r="D2317" s="17"/>
      <c r="E2317" s="17"/>
      <c r="F2317" s="17"/>
      <c r="G2317" s="17"/>
      <c r="H2317" s="17"/>
      <c r="I2317" s="17"/>
      <c r="J2317" s="17"/>
      <c r="K2317" s="17"/>
      <c r="L2317" s="17"/>
      <c r="M2317" s="17"/>
      <c r="N2317" s="17"/>
      <c r="O2317" s="17"/>
      <c r="P2317" s="17"/>
      <c r="Q2317" s="17"/>
      <c r="R2317" s="18"/>
      <c r="S2317" s="20"/>
    </row>
    <row r="2318" spans="1:19" x14ac:dyDescent="0.35">
      <c r="A2318" s="81"/>
      <c r="B2318" s="17"/>
      <c r="C2318" s="17"/>
      <c r="D2318" s="17"/>
      <c r="E2318" s="17"/>
      <c r="F2318" s="17"/>
      <c r="G2318" s="17"/>
      <c r="H2318" s="17"/>
      <c r="I2318" s="17"/>
      <c r="J2318" s="17"/>
      <c r="K2318" s="17"/>
      <c r="L2318" s="17"/>
      <c r="M2318" s="17"/>
      <c r="N2318" s="17"/>
      <c r="O2318" s="17"/>
      <c r="P2318" s="17"/>
      <c r="Q2318" s="17"/>
      <c r="R2318" s="18"/>
      <c r="S2318" s="20"/>
    </row>
    <row r="2319" spans="1:19" x14ac:dyDescent="0.35">
      <c r="A2319" s="81"/>
      <c r="B2319" s="17"/>
      <c r="C2319" s="17"/>
      <c r="D2319" s="17"/>
      <c r="E2319" s="17"/>
      <c r="F2319" s="17"/>
      <c r="G2319" s="17"/>
      <c r="H2319" s="17"/>
      <c r="I2319" s="17"/>
      <c r="J2319" s="17"/>
      <c r="K2319" s="17"/>
      <c r="L2319" s="17"/>
      <c r="M2319" s="17"/>
      <c r="N2319" s="17"/>
      <c r="O2319" s="17"/>
      <c r="P2319" s="17"/>
      <c r="Q2319" s="17"/>
      <c r="R2319" s="18"/>
      <c r="S2319" s="18"/>
    </row>
    <row r="2320" spans="1:19" x14ac:dyDescent="0.35">
      <c r="A2320" s="81"/>
      <c r="B2320" s="17"/>
      <c r="C2320" s="17"/>
      <c r="D2320" s="17"/>
      <c r="E2320" s="17"/>
      <c r="F2320" s="17"/>
      <c r="G2320" s="17"/>
      <c r="H2320" s="17"/>
      <c r="I2320" s="17"/>
      <c r="J2320" s="17"/>
      <c r="K2320" s="17"/>
      <c r="L2320" s="17"/>
      <c r="M2320" s="17"/>
      <c r="N2320" s="17"/>
      <c r="O2320" s="19"/>
      <c r="P2320" s="17"/>
      <c r="Q2320" s="17"/>
      <c r="R2320" s="18"/>
      <c r="S2320" s="20"/>
    </row>
    <row r="2321" spans="1:19" x14ac:dyDescent="0.35">
      <c r="A2321" s="82"/>
      <c r="B2321" s="19"/>
      <c r="C2321" s="19"/>
      <c r="D2321" s="19"/>
      <c r="E2321" s="19"/>
      <c r="F2321" s="19"/>
      <c r="G2321" s="19"/>
      <c r="H2321" s="19"/>
      <c r="I2321" s="19"/>
      <c r="J2321" s="19"/>
      <c r="K2321" s="19"/>
      <c r="L2321" s="19"/>
      <c r="M2321" s="19"/>
      <c r="N2321" s="19"/>
      <c r="O2321" s="19"/>
      <c r="P2321" s="19"/>
      <c r="Q2321" s="19"/>
      <c r="R2321" s="20"/>
      <c r="S2321" s="20"/>
    </row>
    <row r="2322" spans="1:19" x14ac:dyDescent="0.35">
      <c r="A2322" s="82"/>
      <c r="B2322" s="19"/>
      <c r="C2322" s="19"/>
      <c r="D2322" s="19"/>
      <c r="E2322" s="19"/>
      <c r="F2322" s="19"/>
      <c r="G2322" s="19"/>
      <c r="H2322" s="19"/>
      <c r="I2322" s="19"/>
      <c r="J2322" s="19"/>
      <c r="K2322" s="19"/>
      <c r="L2322" s="19"/>
      <c r="M2322" s="19"/>
      <c r="N2322" s="19"/>
      <c r="O2322" s="19"/>
      <c r="P2322" s="19"/>
      <c r="Q2322" s="19"/>
      <c r="R2322" s="20"/>
      <c r="S2322" s="20"/>
    </row>
    <row r="2323" spans="1:19" x14ac:dyDescent="0.35">
      <c r="A2323" s="82"/>
      <c r="B2323" s="19"/>
      <c r="C2323" s="19"/>
      <c r="D2323" s="19"/>
      <c r="E2323" s="19"/>
      <c r="F2323" s="19"/>
      <c r="G2323" s="19"/>
      <c r="H2323" s="19"/>
      <c r="I2323" s="19"/>
      <c r="J2323" s="19"/>
      <c r="K2323" s="19"/>
      <c r="L2323" s="19"/>
      <c r="M2323" s="19"/>
      <c r="N2323" s="19"/>
      <c r="O2323" s="19"/>
      <c r="P2323" s="19"/>
      <c r="Q2323" s="19"/>
      <c r="R2323" s="20"/>
      <c r="S2323" s="20"/>
    </row>
    <row r="2324" spans="1:19" x14ac:dyDescent="0.35">
      <c r="A2324" s="82"/>
      <c r="B2324" s="19"/>
      <c r="C2324" s="19"/>
      <c r="D2324" s="19"/>
      <c r="E2324" s="19"/>
      <c r="F2324" s="19"/>
      <c r="G2324" s="19"/>
      <c r="H2324" s="19"/>
      <c r="I2324" s="19"/>
      <c r="J2324" s="19"/>
      <c r="K2324" s="19"/>
      <c r="L2324" s="19"/>
      <c r="M2324" s="19"/>
      <c r="N2324" s="19"/>
      <c r="O2324" s="19"/>
      <c r="P2324" s="19"/>
      <c r="Q2324" s="19"/>
      <c r="R2324" s="20"/>
      <c r="S2324" s="18"/>
    </row>
    <row r="2325" spans="1:19" x14ac:dyDescent="0.35">
      <c r="A2325" s="82"/>
      <c r="B2325" s="19"/>
      <c r="C2325" s="19"/>
      <c r="D2325" s="19"/>
      <c r="E2325" s="19"/>
      <c r="F2325" s="19"/>
      <c r="G2325" s="19"/>
      <c r="H2325" s="19"/>
      <c r="I2325" s="19"/>
      <c r="J2325" s="19"/>
      <c r="K2325" s="19"/>
      <c r="L2325" s="19"/>
      <c r="M2325" s="19"/>
      <c r="N2325" s="19"/>
      <c r="O2325" s="19"/>
      <c r="P2325" s="19"/>
      <c r="Q2325" s="19"/>
      <c r="R2325" s="20"/>
      <c r="S2325" s="20"/>
    </row>
    <row r="2326" spans="1:19" x14ac:dyDescent="0.35">
      <c r="A2326" s="81"/>
      <c r="B2326" s="17"/>
      <c r="C2326" s="17"/>
      <c r="D2326" s="17"/>
      <c r="E2326" s="17"/>
      <c r="F2326" s="17"/>
      <c r="G2326" s="17"/>
      <c r="H2326" s="17"/>
      <c r="I2326" s="17"/>
      <c r="J2326" s="17"/>
      <c r="K2326" s="17"/>
      <c r="L2326" s="17"/>
      <c r="M2326" s="17"/>
      <c r="N2326" s="17"/>
      <c r="O2326" s="17"/>
      <c r="P2326" s="17"/>
      <c r="Q2326" s="17"/>
      <c r="R2326" s="18"/>
      <c r="S2326" s="20"/>
    </row>
    <row r="2327" spans="1:19" x14ac:dyDescent="0.35">
      <c r="A2327" s="82"/>
      <c r="B2327" s="19"/>
      <c r="C2327" s="19"/>
      <c r="D2327" s="19"/>
      <c r="E2327" s="19"/>
      <c r="F2327" s="19"/>
      <c r="G2327" s="19"/>
      <c r="H2327" s="19"/>
      <c r="I2327" s="19"/>
      <c r="J2327" s="19"/>
      <c r="K2327" s="19"/>
      <c r="L2327" s="19"/>
      <c r="M2327" s="19"/>
      <c r="N2327" s="19"/>
      <c r="O2327" s="19"/>
      <c r="P2327" s="19"/>
      <c r="Q2327" s="19"/>
      <c r="R2327" s="20"/>
      <c r="S2327" s="20"/>
    </row>
    <row r="2328" spans="1:19" x14ac:dyDescent="0.35">
      <c r="A2328" s="82"/>
      <c r="B2328" s="19"/>
      <c r="C2328" s="19"/>
      <c r="D2328" s="19"/>
      <c r="E2328" s="19"/>
      <c r="F2328" s="19"/>
      <c r="G2328" s="19"/>
      <c r="H2328" s="19"/>
      <c r="I2328" s="19"/>
      <c r="J2328" s="19"/>
      <c r="K2328" s="19"/>
      <c r="L2328" s="19"/>
      <c r="M2328" s="19"/>
      <c r="N2328" s="19"/>
      <c r="O2328" s="19"/>
      <c r="P2328" s="19"/>
      <c r="Q2328" s="19"/>
      <c r="R2328" s="20"/>
      <c r="S2328" s="20"/>
    </row>
    <row r="2329" spans="1:19" x14ac:dyDescent="0.35">
      <c r="A2329" s="81"/>
      <c r="B2329" s="17"/>
      <c r="C2329" s="17"/>
      <c r="D2329" s="17"/>
      <c r="E2329" s="17"/>
      <c r="F2329" s="17"/>
      <c r="G2329" s="17"/>
      <c r="H2329" s="17"/>
      <c r="I2329" s="17"/>
      <c r="J2329" s="17"/>
      <c r="K2329" s="17"/>
      <c r="L2329" s="17"/>
      <c r="M2329" s="17"/>
      <c r="N2329" s="17"/>
      <c r="O2329" s="17"/>
      <c r="P2329" s="17"/>
      <c r="Q2329" s="17"/>
      <c r="R2329" s="18"/>
      <c r="S2329" s="20"/>
    </row>
    <row r="2330" spans="1:19" x14ac:dyDescent="0.35">
      <c r="A2330" s="81"/>
      <c r="B2330" s="17"/>
      <c r="C2330" s="17"/>
      <c r="D2330" s="17"/>
      <c r="E2330" s="17"/>
      <c r="F2330" s="17"/>
      <c r="G2330" s="17"/>
      <c r="H2330" s="17"/>
      <c r="I2330" s="17"/>
      <c r="J2330" s="17"/>
      <c r="K2330" s="17"/>
      <c r="L2330" s="17"/>
      <c r="M2330" s="17"/>
      <c r="N2330" s="17"/>
      <c r="O2330" s="17"/>
      <c r="P2330" s="17"/>
      <c r="Q2330" s="17"/>
      <c r="R2330" s="18"/>
      <c r="S2330" s="20"/>
    </row>
    <row r="2331" spans="1:19" x14ac:dyDescent="0.35">
      <c r="A2331" s="82"/>
      <c r="B2331" s="19"/>
      <c r="C2331" s="19"/>
      <c r="D2331" s="19"/>
      <c r="E2331" s="19"/>
      <c r="F2331" s="19"/>
      <c r="G2331" s="19"/>
      <c r="H2331" s="19"/>
      <c r="I2331" s="19"/>
      <c r="J2331" s="19"/>
      <c r="K2331" s="19"/>
      <c r="L2331" s="19"/>
      <c r="M2331" s="19"/>
      <c r="N2331" s="19"/>
      <c r="O2331" s="19"/>
      <c r="P2331" s="19"/>
      <c r="Q2331" s="19"/>
      <c r="R2331" s="20"/>
      <c r="S2331" s="20"/>
    </row>
    <row r="2332" spans="1:19" x14ac:dyDescent="0.35">
      <c r="A2332" s="81"/>
      <c r="B2332" s="17"/>
      <c r="C2332" s="17"/>
      <c r="D2332" s="17"/>
      <c r="E2332" s="17"/>
      <c r="F2332" s="17"/>
      <c r="G2332" s="17"/>
      <c r="H2332" s="17"/>
      <c r="I2332" s="17"/>
      <c r="J2332" s="17"/>
      <c r="K2332" s="17"/>
      <c r="L2332" s="17"/>
      <c r="M2332" s="17"/>
      <c r="N2332" s="17"/>
      <c r="O2332" s="17"/>
      <c r="P2332" s="17"/>
      <c r="Q2332" s="17"/>
      <c r="R2332" s="18"/>
      <c r="S2332" s="18"/>
    </row>
    <row r="2333" spans="1:19" x14ac:dyDescent="0.35">
      <c r="A2333" s="82"/>
      <c r="B2333" s="19"/>
      <c r="C2333" s="19"/>
      <c r="D2333" s="19"/>
      <c r="E2333" s="19"/>
      <c r="F2333" s="19"/>
      <c r="G2333" s="19"/>
      <c r="H2333" s="19"/>
      <c r="I2333" s="19"/>
      <c r="J2333" s="19"/>
      <c r="K2333" s="19"/>
      <c r="L2333" s="19"/>
      <c r="M2333" s="19"/>
      <c r="N2333" s="19"/>
      <c r="O2333" s="19"/>
      <c r="P2333" s="19"/>
      <c r="Q2333" s="19"/>
      <c r="R2333" s="20"/>
      <c r="S2333" s="20"/>
    </row>
    <row r="2334" spans="1:19" x14ac:dyDescent="0.35">
      <c r="A2334" s="82"/>
      <c r="B2334" s="19"/>
      <c r="C2334" s="19"/>
      <c r="D2334" s="19"/>
      <c r="E2334" s="19"/>
      <c r="F2334" s="19"/>
      <c r="G2334" s="19"/>
      <c r="H2334" s="19"/>
      <c r="I2334" s="19"/>
      <c r="J2334" s="19"/>
      <c r="K2334" s="19"/>
      <c r="L2334" s="19"/>
      <c r="M2334" s="19"/>
      <c r="N2334" s="19"/>
      <c r="O2334" s="19"/>
      <c r="P2334" s="19"/>
      <c r="Q2334" s="19"/>
      <c r="R2334" s="20"/>
      <c r="S2334" s="20"/>
    </row>
    <row r="2335" spans="1:19" x14ac:dyDescent="0.35">
      <c r="A2335" s="82"/>
      <c r="B2335" s="19"/>
      <c r="C2335" s="19"/>
      <c r="D2335" s="19"/>
      <c r="E2335" s="19"/>
      <c r="F2335" s="19"/>
      <c r="G2335" s="19"/>
      <c r="H2335" s="19"/>
      <c r="I2335" s="19"/>
      <c r="J2335" s="19"/>
      <c r="K2335" s="19"/>
      <c r="L2335" s="19"/>
      <c r="M2335" s="19"/>
      <c r="N2335" s="19"/>
      <c r="O2335" s="19"/>
      <c r="P2335" s="19"/>
      <c r="Q2335" s="19"/>
      <c r="R2335" s="20"/>
      <c r="S2335" s="20"/>
    </row>
    <row r="2336" spans="1:19" x14ac:dyDescent="0.35">
      <c r="A2336" s="81"/>
      <c r="B2336" s="17"/>
      <c r="C2336" s="17"/>
      <c r="D2336" s="17"/>
      <c r="E2336" s="17"/>
      <c r="F2336" s="17"/>
      <c r="G2336" s="17"/>
      <c r="H2336" s="17"/>
      <c r="I2336" s="17"/>
      <c r="J2336" s="17"/>
      <c r="K2336" s="17"/>
      <c r="L2336" s="17"/>
      <c r="M2336" s="17"/>
      <c r="N2336" s="17"/>
      <c r="O2336" s="17"/>
      <c r="P2336" s="17"/>
      <c r="Q2336" s="17"/>
      <c r="R2336" s="18"/>
      <c r="S2336" s="20"/>
    </row>
    <row r="2337" spans="1:19" x14ac:dyDescent="0.35">
      <c r="A2337" s="82"/>
      <c r="B2337" s="19"/>
      <c r="C2337" s="19"/>
      <c r="D2337" s="19"/>
      <c r="E2337" s="19"/>
      <c r="F2337" s="19"/>
      <c r="G2337" s="19"/>
      <c r="H2337" s="19"/>
      <c r="I2337" s="19"/>
      <c r="J2337" s="19"/>
      <c r="K2337" s="19"/>
      <c r="L2337" s="19"/>
      <c r="M2337" s="19"/>
      <c r="N2337" s="19"/>
      <c r="O2337" s="19"/>
      <c r="P2337" s="19"/>
      <c r="Q2337" s="19"/>
      <c r="R2337" s="20"/>
      <c r="S2337" s="20"/>
    </row>
    <row r="2338" spans="1:19" x14ac:dyDescent="0.35">
      <c r="A2338" s="82"/>
      <c r="B2338" s="19"/>
      <c r="C2338" s="19"/>
      <c r="D2338" s="19"/>
      <c r="E2338" s="19"/>
      <c r="F2338" s="19"/>
      <c r="G2338" s="19"/>
      <c r="H2338" s="19"/>
      <c r="I2338" s="19"/>
      <c r="J2338" s="19"/>
      <c r="K2338" s="19"/>
      <c r="L2338" s="19"/>
      <c r="M2338" s="19"/>
      <c r="N2338" s="19"/>
      <c r="O2338" s="19"/>
      <c r="P2338" s="19"/>
      <c r="Q2338" s="19"/>
      <c r="R2338" s="20"/>
      <c r="S2338" s="20"/>
    </row>
    <row r="2339" spans="1:19" x14ac:dyDescent="0.35">
      <c r="A2339" s="82"/>
      <c r="B2339" s="19"/>
      <c r="C2339" s="19"/>
      <c r="D2339" s="19"/>
      <c r="E2339" s="19"/>
      <c r="F2339" s="19"/>
      <c r="G2339" s="19"/>
      <c r="H2339" s="19"/>
      <c r="I2339" s="19"/>
      <c r="J2339" s="19"/>
      <c r="K2339" s="19"/>
      <c r="L2339" s="19"/>
      <c r="M2339" s="19"/>
      <c r="N2339" s="19"/>
      <c r="O2339" s="19"/>
      <c r="P2339" s="19"/>
      <c r="Q2339" s="19"/>
      <c r="R2339" s="20"/>
      <c r="S2339" s="20"/>
    </row>
    <row r="2340" spans="1:19" x14ac:dyDescent="0.35">
      <c r="A2340" s="82"/>
      <c r="B2340" s="19"/>
      <c r="C2340" s="19"/>
      <c r="D2340" s="19"/>
      <c r="E2340" s="19"/>
      <c r="F2340" s="19"/>
      <c r="G2340" s="19"/>
      <c r="H2340" s="19"/>
      <c r="I2340" s="19"/>
      <c r="J2340" s="19"/>
      <c r="K2340" s="19"/>
      <c r="L2340" s="19"/>
      <c r="M2340" s="19"/>
      <c r="N2340" s="19"/>
      <c r="O2340" s="19"/>
      <c r="P2340" s="19"/>
      <c r="Q2340" s="19"/>
      <c r="R2340" s="20"/>
      <c r="S2340" s="20"/>
    </row>
    <row r="2341" spans="1:19" x14ac:dyDescent="0.35">
      <c r="A2341" s="82"/>
      <c r="B2341" s="19"/>
      <c r="C2341" s="19"/>
      <c r="D2341" s="19"/>
      <c r="E2341" s="19"/>
      <c r="F2341" s="19"/>
      <c r="G2341" s="19"/>
      <c r="H2341" s="19"/>
      <c r="I2341" s="19"/>
      <c r="J2341" s="19"/>
      <c r="K2341" s="19"/>
      <c r="L2341" s="19"/>
      <c r="M2341" s="19"/>
      <c r="N2341" s="19"/>
      <c r="O2341" s="19"/>
      <c r="P2341" s="19"/>
      <c r="Q2341" s="19"/>
      <c r="R2341" s="20"/>
      <c r="S2341" s="20"/>
    </row>
    <row r="2342" spans="1:19" x14ac:dyDescent="0.35">
      <c r="A2342" s="82"/>
      <c r="B2342" s="19"/>
      <c r="C2342" s="19"/>
      <c r="D2342" s="19"/>
      <c r="E2342" s="19"/>
      <c r="F2342" s="19"/>
      <c r="G2342" s="19"/>
      <c r="H2342" s="19"/>
      <c r="I2342" s="19"/>
      <c r="J2342" s="19"/>
      <c r="K2342" s="19"/>
      <c r="L2342" s="19"/>
      <c r="M2342" s="19"/>
      <c r="N2342" s="19"/>
      <c r="O2342" s="19"/>
      <c r="P2342" s="19"/>
      <c r="Q2342" s="19"/>
      <c r="R2342" s="20"/>
      <c r="S2342" s="20"/>
    </row>
    <row r="2343" spans="1:19" x14ac:dyDescent="0.35">
      <c r="A2343" s="82"/>
      <c r="B2343" s="19"/>
      <c r="C2343" s="19"/>
      <c r="D2343" s="19"/>
      <c r="E2343" s="19"/>
      <c r="F2343" s="19"/>
      <c r="G2343" s="19"/>
      <c r="H2343" s="19"/>
      <c r="I2343" s="19"/>
      <c r="J2343" s="19"/>
      <c r="K2343" s="19"/>
      <c r="L2343" s="19"/>
      <c r="M2343" s="19"/>
      <c r="N2343" s="19"/>
      <c r="O2343" s="19"/>
      <c r="P2343" s="19"/>
      <c r="Q2343" s="19"/>
      <c r="R2343" s="20"/>
      <c r="S2343" s="20"/>
    </row>
    <row r="2344" spans="1:19" x14ac:dyDescent="0.35">
      <c r="A2344" s="82"/>
      <c r="B2344" s="19"/>
      <c r="C2344" s="19"/>
      <c r="D2344" s="19"/>
      <c r="E2344" s="19"/>
      <c r="F2344" s="19"/>
      <c r="G2344" s="19"/>
      <c r="H2344" s="19"/>
      <c r="I2344" s="19"/>
      <c r="J2344" s="19"/>
      <c r="K2344" s="19"/>
      <c r="L2344" s="19"/>
      <c r="M2344" s="19"/>
      <c r="N2344" s="19"/>
      <c r="O2344" s="19"/>
      <c r="P2344" s="19"/>
      <c r="Q2344" s="19"/>
      <c r="R2344" s="20"/>
      <c r="S2344" s="20"/>
    </row>
    <row r="2345" spans="1:19" x14ac:dyDescent="0.35">
      <c r="A2345" s="82"/>
      <c r="B2345" s="19"/>
      <c r="C2345" s="19"/>
      <c r="D2345" s="19"/>
      <c r="E2345" s="19"/>
      <c r="F2345" s="19"/>
      <c r="G2345" s="19"/>
      <c r="H2345" s="19"/>
      <c r="I2345" s="19"/>
      <c r="J2345" s="19"/>
      <c r="K2345" s="19"/>
      <c r="L2345" s="19"/>
      <c r="M2345" s="19"/>
      <c r="N2345" s="19"/>
      <c r="O2345" s="19"/>
      <c r="P2345" s="19"/>
      <c r="Q2345" s="19"/>
      <c r="R2345" s="20"/>
      <c r="S2345" s="20"/>
    </row>
    <row r="2346" spans="1:19" x14ac:dyDescent="0.35">
      <c r="A2346" s="82"/>
      <c r="B2346" s="19"/>
      <c r="C2346" s="19"/>
      <c r="D2346" s="19"/>
      <c r="E2346" s="19"/>
      <c r="F2346" s="19"/>
      <c r="G2346" s="19"/>
      <c r="H2346" s="19"/>
      <c r="I2346" s="19"/>
      <c r="J2346" s="19"/>
      <c r="K2346" s="19"/>
      <c r="L2346" s="19"/>
      <c r="M2346" s="19"/>
      <c r="N2346" s="19"/>
      <c r="O2346" s="19"/>
      <c r="P2346" s="19"/>
      <c r="Q2346" s="19"/>
      <c r="R2346" s="20"/>
      <c r="S2346" s="20"/>
    </row>
    <row r="2347" spans="1:19" x14ac:dyDescent="0.35">
      <c r="A2347" s="81"/>
      <c r="B2347" s="17"/>
      <c r="C2347" s="17"/>
      <c r="D2347" s="17"/>
      <c r="E2347" s="17"/>
      <c r="F2347" s="17"/>
      <c r="G2347" s="17"/>
      <c r="H2347" s="17"/>
      <c r="I2347" s="17"/>
      <c r="J2347" s="17"/>
      <c r="K2347" s="17"/>
      <c r="L2347" s="17"/>
      <c r="M2347" s="17"/>
      <c r="N2347" s="17"/>
      <c r="O2347" s="17"/>
      <c r="P2347" s="17"/>
      <c r="Q2347" s="17"/>
      <c r="R2347" s="18"/>
      <c r="S2347" s="20"/>
    </row>
    <row r="2348" spans="1:19" x14ac:dyDescent="0.35">
      <c r="A2348" s="82"/>
      <c r="B2348" s="19"/>
      <c r="C2348" s="19"/>
      <c r="D2348" s="19"/>
      <c r="E2348" s="19"/>
      <c r="F2348" s="19"/>
      <c r="G2348" s="19"/>
      <c r="H2348" s="19"/>
      <c r="I2348" s="19"/>
      <c r="J2348" s="19"/>
      <c r="K2348" s="19"/>
      <c r="L2348" s="19"/>
      <c r="M2348" s="19"/>
      <c r="N2348" s="19"/>
      <c r="O2348" s="19"/>
      <c r="P2348" s="19"/>
      <c r="Q2348" s="19"/>
      <c r="R2348" s="20"/>
    </row>
    <row r="2349" spans="1:19" x14ac:dyDescent="0.35">
      <c r="A2349" s="81"/>
      <c r="B2349" s="17"/>
      <c r="C2349" s="17"/>
      <c r="D2349" s="17"/>
      <c r="E2349" s="17"/>
      <c r="F2349" s="17"/>
      <c r="G2349" s="17"/>
      <c r="H2349" s="17"/>
      <c r="I2349" s="17"/>
      <c r="J2349" s="17"/>
      <c r="K2349" s="17"/>
      <c r="L2349" s="17"/>
      <c r="M2349" s="17"/>
      <c r="N2349" s="17"/>
      <c r="O2349" s="17"/>
      <c r="P2349" s="17"/>
      <c r="Q2349" s="17"/>
      <c r="R2349" s="18"/>
    </row>
    <row r="2350" spans="1:19" x14ac:dyDescent="0.35">
      <c r="A2350" s="81"/>
      <c r="B2350" s="17"/>
      <c r="C2350" s="17"/>
      <c r="D2350" s="17"/>
      <c r="E2350" s="17"/>
      <c r="F2350" s="17"/>
      <c r="G2350" s="17"/>
      <c r="H2350" s="17"/>
      <c r="I2350" s="17"/>
      <c r="J2350" s="17"/>
      <c r="K2350" s="17"/>
      <c r="L2350" s="17"/>
      <c r="M2350" s="17"/>
      <c r="N2350" s="17"/>
      <c r="O2350" s="17"/>
      <c r="P2350" s="17"/>
      <c r="Q2350" s="17"/>
      <c r="R2350" s="18"/>
    </row>
    <row r="2351" spans="1:19" x14ac:dyDescent="0.35">
      <c r="A2351" s="81"/>
      <c r="B2351" s="17"/>
      <c r="C2351" s="17"/>
      <c r="D2351" s="17"/>
      <c r="E2351" s="17"/>
      <c r="F2351" s="17"/>
      <c r="G2351" s="17"/>
      <c r="H2351" s="17"/>
      <c r="I2351" s="17"/>
      <c r="J2351" s="17"/>
      <c r="K2351" s="17"/>
      <c r="L2351" s="17"/>
      <c r="M2351" s="17"/>
      <c r="N2351" s="17"/>
      <c r="O2351" s="17"/>
      <c r="P2351" s="17"/>
      <c r="Q2351" s="17"/>
      <c r="R2351" s="18"/>
    </row>
    <row r="2352" spans="1:19" x14ac:dyDescent="0.35">
      <c r="A2352" s="82"/>
      <c r="B2352" s="19"/>
      <c r="C2352" s="19"/>
      <c r="D2352" s="19"/>
      <c r="E2352" s="19"/>
      <c r="F2352" s="19"/>
      <c r="G2352" s="19"/>
      <c r="H2352" s="19"/>
      <c r="I2352" s="19"/>
      <c r="J2352" s="19"/>
      <c r="K2352" s="19"/>
      <c r="L2352" s="19"/>
      <c r="M2352" s="19"/>
      <c r="N2352" s="19"/>
      <c r="O2352" s="19"/>
      <c r="P2352" s="19"/>
      <c r="Q2352" s="19"/>
      <c r="R2352" s="20"/>
    </row>
    <row r="2353" spans="1:19" x14ac:dyDescent="0.35">
      <c r="A2353" s="82"/>
      <c r="B2353" s="19"/>
      <c r="C2353" s="19"/>
      <c r="D2353" s="19"/>
      <c r="E2353" s="19"/>
      <c r="F2353" s="19"/>
      <c r="G2353" s="19"/>
      <c r="H2353" s="19"/>
      <c r="I2353" s="19"/>
      <c r="J2353" s="19"/>
      <c r="K2353" s="19"/>
      <c r="L2353" s="19"/>
      <c r="M2353" s="19"/>
      <c r="N2353" s="19"/>
      <c r="O2353" s="19"/>
      <c r="P2353" s="19"/>
      <c r="Q2353" s="19"/>
      <c r="R2353" s="20"/>
    </row>
    <row r="2354" spans="1:19" x14ac:dyDescent="0.35">
      <c r="A2354" s="82"/>
      <c r="B2354" s="19"/>
      <c r="C2354" s="19"/>
      <c r="D2354" s="19"/>
      <c r="E2354" s="19"/>
      <c r="F2354" s="19"/>
      <c r="G2354" s="19"/>
      <c r="H2354" s="19"/>
      <c r="I2354" s="19"/>
      <c r="J2354" s="19"/>
      <c r="K2354" s="19"/>
      <c r="L2354" s="19"/>
      <c r="M2354" s="19"/>
      <c r="N2354" s="19"/>
      <c r="O2354" s="19"/>
      <c r="P2354" s="19"/>
      <c r="Q2354" s="19"/>
      <c r="R2354" s="20"/>
    </row>
    <row r="2355" spans="1:19" x14ac:dyDescent="0.35">
      <c r="A2355" s="81"/>
      <c r="B2355" s="17"/>
      <c r="C2355" s="17"/>
      <c r="D2355" s="17"/>
      <c r="E2355" s="17"/>
      <c r="F2355" s="17"/>
      <c r="G2355" s="17"/>
      <c r="H2355" s="17"/>
      <c r="I2355" s="17"/>
      <c r="J2355" s="17"/>
      <c r="K2355" s="17"/>
      <c r="L2355" s="17"/>
      <c r="M2355" s="17"/>
      <c r="N2355" s="17"/>
      <c r="O2355" s="17"/>
      <c r="P2355" s="17"/>
      <c r="Q2355" s="17"/>
      <c r="R2355" s="18"/>
    </row>
    <row r="2356" spans="1:19" x14ac:dyDescent="0.35">
      <c r="A2356" s="82"/>
      <c r="B2356" s="19"/>
      <c r="C2356" s="19"/>
      <c r="D2356" s="19"/>
      <c r="E2356" s="19"/>
      <c r="F2356" s="19"/>
      <c r="G2356" s="19"/>
      <c r="H2356" s="19"/>
      <c r="I2356" s="19"/>
      <c r="J2356" s="19"/>
      <c r="K2356" s="19"/>
      <c r="L2356" s="19"/>
      <c r="M2356" s="19"/>
      <c r="N2356" s="19"/>
      <c r="O2356" s="19"/>
      <c r="P2356" s="19"/>
      <c r="Q2356" s="19"/>
      <c r="R2356" s="20"/>
    </row>
    <row r="2357" spans="1:19" x14ac:dyDescent="0.35">
      <c r="A2357" s="81"/>
      <c r="B2357" s="17"/>
      <c r="C2357" s="17"/>
      <c r="D2357" s="17"/>
      <c r="E2357" s="17"/>
      <c r="F2357" s="17"/>
      <c r="G2357" s="17"/>
      <c r="H2357" s="17"/>
      <c r="I2357" s="17"/>
      <c r="J2357" s="17"/>
      <c r="K2357" s="17"/>
      <c r="L2357" s="17"/>
      <c r="M2357" s="17"/>
      <c r="N2357" s="17"/>
      <c r="O2357" s="17"/>
      <c r="P2357" s="17"/>
      <c r="Q2357" s="17"/>
      <c r="R2357" s="18"/>
    </row>
    <row r="2358" spans="1:19" x14ac:dyDescent="0.35">
      <c r="A2358" s="81"/>
      <c r="B2358" s="17"/>
      <c r="C2358" s="17"/>
      <c r="D2358" s="17"/>
      <c r="E2358" s="17"/>
      <c r="F2358" s="17"/>
      <c r="G2358" s="17"/>
      <c r="H2358" s="17"/>
      <c r="I2358" s="17"/>
      <c r="J2358" s="17"/>
      <c r="K2358" s="17"/>
      <c r="L2358" s="17"/>
      <c r="M2358" s="17"/>
      <c r="N2358" s="17"/>
      <c r="O2358" s="17"/>
      <c r="P2358" s="17"/>
      <c r="Q2358" s="17"/>
      <c r="R2358" s="18"/>
      <c r="S2358" s="30"/>
    </row>
    <row r="2359" spans="1:19" x14ac:dyDescent="0.35">
      <c r="A2359" s="81"/>
      <c r="B2359" s="17"/>
      <c r="C2359" s="17"/>
      <c r="D2359" s="17"/>
      <c r="E2359" s="17"/>
      <c r="F2359" s="17"/>
      <c r="G2359" s="17"/>
      <c r="H2359" s="17"/>
      <c r="I2359" s="17"/>
      <c r="J2359" s="17"/>
      <c r="K2359" s="17"/>
      <c r="L2359" s="17"/>
      <c r="M2359" s="17"/>
      <c r="N2359" s="17"/>
      <c r="O2359" s="17"/>
      <c r="P2359" s="17"/>
      <c r="Q2359" s="17"/>
      <c r="R2359" s="18"/>
    </row>
    <row r="2360" spans="1:19" x14ac:dyDescent="0.35">
      <c r="A2360" s="81"/>
      <c r="B2360" s="17"/>
      <c r="C2360" s="17"/>
      <c r="D2360" s="17"/>
      <c r="E2360" s="17"/>
      <c r="F2360" s="17"/>
      <c r="G2360" s="17"/>
      <c r="H2360" s="17"/>
      <c r="I2360" s="17"/>
      <c r="J2360" s="17"/>
      <c r="K2360" s="17"/>
      <c r="L2360" s="17"/>
      <c r="M2360" s="17"/>
      <c r="N2360" s="17"/>
      <c r="O2360" s="19"/>
      <c r="P2360" s="17"/>
      <c r="Q2360" s="17"/>
      <c r="R2360" s="18"/>
    </row>
    <row r="2361" spans="1:19" x14ac:dyDescent="0.35">
      <c r="A2361" s="82"/>
      <c r="B2361" s="19"/>
      <c r="C2361" s="19"/>
      <c r="D2361" s="19"/>
      <c r="E2361" s="19"/>
      <c r="F2361" s="19"/>
      <c r="G2361" s="19"/>
      <c r="H2361" s="19"/>
      <c r="I2361" s="19"/>
      <c r="J2361" s="19"/>
      <c r="K2361" s="19"/>
      <c r="L2361" s="19"/>
      <c r="M2361" s="19"/>
      <c r="N2361" s="19"/>
      <c r="O2361" s="19"/>
      <c r="P2361" s="19"/>
      <c r="Q2361" s="19"/>
      <c r="R2361" s="20"/>
    </row>
    <row r="2362" spans="1:19" x14ac:dyDescent="0.35">
      <c r="A2362" s="82"/>
      <c r="B2362" s="19"/>
      <c r="C2362" s="19"/>
      <c r="D2362" s="19"/>
      <c r="E2362" s="19"/>
      <c r="F2362" s="19"/>
      <c r="G2362" s="19"/>
      <c r="H2362" s="19"/>
      <c r="I2362" s="19"/>
      <c r="J2362" s="19"/>
      <c r="K2362" s="19"/>
      <c r="L2362" s="19"/>
      <c r="M2362" s="19"/>
      <c r="N2362" s="19"/>
      <c r="O2362" s="19"/>
      <c r="P2362" s="19"/>
      <c r="Q2362" s="19"/>
      <c r="R2362" s="20"/>
    </row>
    <row r="2363" spans="1:19" x14ac:dyDescent="0.35">
      <c r="A2363" s="82"/>
      <c r="B2363" s="19"/>
      <c r="C2363" s="19"/>
      <c r="D2363" s="19"/>
      <c r="E2363" s="19"/>
      <c r="F2363" s="19"/>
      <c r="G2363" s="19"/>
      <c r="H2363" s="19"/>
      <c r="I2363" s="19"/>
      <c r="J2363" s="19"/>
      <c r="K2363" s="19"/>
      <c r="L2363" s="19"/>
      <c r="M2363" s="19"/>
      <c r="N2363" s="19"/>
      <c r="O2363" s="19"/>
      <c r="P2363" s="19"/>
      <c r="Q2363" s="19"/>
      <c r="R2363" s="20"/>
    </row>
    <row r="2364" spans="1:19" x14ac:dyDescent="0.35">
      <c r="A2364" s="82"/>
      <c r="B2364" s="19"/>
      <c r="C2364" s="19"/>
      <c r="D2364" s="19"/>
      <c r="E2364" s="19"/>
      <c r="F2364" s="19"/>
      <c r="G2364" s="19"/>
      <c r="H2364" s="19"/>
      <c r="I2364" s="19"/>
      <c r="J2364" s="19"/>
      <c r="K2364" s="19"/>
      <c r="L2364" s="19"/>
      <c r="M2364" s="19"/>
      <c r="N2364" s="19"/>
      <c r="O2364" s="19"/>
      <c r="P2364" s="19"/>
      <c r="Q2364" s="19"/>
      <c r="R2364" s="20"/>
    </row>
    <row r="2365" spans="1:19" x14ac:dyDescent="0.35">
      <c r="A2365" s="82"/>
      <c r="B2365" s="19"/>
      <c r="C2365" s="19"/>
      <c r="D2365" s="19"/>
      <c r="E2365" s="19"/>
      <c r="F2365" s="19"/>
      <c r="G2365" s="19"/>
      <c r="H2365" s="19"/>
      <c r="I2365" s="19"/>
      <c r="J2365" s="19"/>
      <c r="K2365" s="19"/>
      <c r="L2365" s="19"/>
      <c r="M2365" s="19"/>
      <c r="N2365" s="19"/>
      <c r="O2365" s="19"/>
      <c r="P2365" s="19"/>
      <c r="Q2365" s="19"/>
      <c r="R2365" s="20"/>
    </row>
    <row r="2366" spans="1:19" x14ac:dyDescent="0.35">
      <c r="A2366" s="82"/>
      <c r="B2366" s="19"/>
      <c r="C2366" s="19"/>
      <c r="D2366" s="19"/>
      <c r="E2366" s="19"/>
      <c r="F2366" s="19"/>
      <c r="G2366" s="19"/>
      <c r="H2366" s="19"/>
      <c r="I2366" s="19"/>
      <c r="J2366" s="19"/>
      <c r="K2366" s="19"/>
      <c r="L2366" s="19"/>
      <c r="M2366" s="19"/>
      <c r="N2366" s="19"/>
      <c r="O2366" s="19"/>
      <c r="P2366" s="19"/>
      <c r="Q2366" s="19"/>
      <c r="R2366" s="20"/>
    </row>
    <row r="2367" spans="1:19" x14ac:dyDescent="0.35">
      <c r="A2367" s="81"/>
      <c r="B2367" s="17"/>
      <c r="C2367" s="17"/>
      <c r="D2367" s="17"/>
      <c r="E2367" s="17"/>
      <c r="F2367" s="17"/>
      <c r="G2367" s="17"/>
      <c r="H2367" s="17"/>
      <c r="I2367" s="17"/>
      <c r="J2367" s="17"/>
      <c r="K2367" s="17"/>
      <c r="L2367" s="17"/>
      <c r="M2367" s="17"/>
      <c r="N2367" s="17"/>
      <c r="O2367" s="17"/>
      <c r="P2367" s="17"/>
      <c r="Q2367" s="17"/>
      <c r="R2367" s="18"/>
    </row>
    <row r="2368" spans="1:19" x14ac:dyDescent="0.35">
      <c r="A2368" s="81"/>
      <c r="B2368" s="17"/>
      <c r="C2368" s="17"/>
      <c r="D2368" s="17"/>
      <c r="E2368" s="17"/>
      <c r="F2368" s="17"/>
      <c r="G2368" s="17"/>
      <c r="H2368" s="17"/>
      <c r="I2368" s="17"/>
      <c r="J2368" s="17"/>
      <c r="K2368" s="17"/>
      <c r="L2368" s="17"/>
      <c r="M2368" s="17"/>
      <c r="N2368" s="17"/>
      <c r="O2368" s="17"/>
      <c r="P2368" s="17"/>
      <c r="Q2368" s="17"/>
      <c r="R2368" s="18"/>
    </row>
    <row r="2369" spans="1:19" x14ac:dyDescent="0.35">
      <c r="A2369" s="82"/>
      <c r="B2369" s="19"/>
      <c r="C2369" s="19"/>
      <c r="D2369" s="19"/>
      <c r="E2369" s="19"/>
      <c r="F2369" s="19"/>
      <c r="G2369" s="19"/>
      <c r="H2369" s="19"/>
      <c r="I2369" s="19"/>
      <c r="J2369" s="19"/>
      <c r="K2369" s="19"/>
      <c r="L2369" s="19"/>
      <c r="M2369" s="19"/>
      <c r="N2369" s="19"/>
      <c r="O2369" s="19"/>
      <c r="P2369" s="19"/>
      <c r="Q2369" s="19"/>
      <c r="R2369" s="20"/>
    </row>
    <row r="2370" spans="1:19" x14ac:dyDescent="0.35">
      <c r="A2370" s="82"/>
      <c r="B2370" s="19"/>
      <c r="C2370" s="19"/>
      <c r="D2370" s="19"/>
      <c r="E2370" s="19"/>
      <c r="F2370" s="19"/>
      <c r="G2370" s="19"/>
      <c r="H2370" s="19"/>
      <c r="I2370" s="19"/>
      <c r="J2370" s="19"/>
      <c r="K2370" s="19"/>
      <c r="L2370" s="19"/>
      <c r="M2370" s="19"/>
      <c r="N2370" s="19"/>
      <c r="O2370" s="19"/>
      <c r="P2370" s="19"/>
      <c r="Q2370" s="19"/>
      <c r="R2370" s="20"/>
    </row>
    <row r="2371" spans="1:19" x14ac:dyDescent="0.35">
      <c r="A2371" s="82"/>
      <c r="B2371" s="19"/>
      <c r="C2371" s="19"/>
      <c r="D2371" s="19"/>
      <c r="E2371" s="19"/>
      <c r="F2371" s="19"/>
      <c r="G2371" s="19"/>
      <c r="H2371" s="19"/>
      <c r="I2371" s="19"/>
      <c r="J2371" s="19"/>
      <c r="K2371" s="19"/>
      <c r="L2371" s="19"/>
      <c r="M2371" s="19"/>
      <c r="N2371" s="19"/>
      <c r="O2371" s="19"/>
      <c r="P2371" s="19"/>
      <c r="Q2371" s="19"/>
      <c r="R2371" s="20"/>
    </row>
    <row r="2372" spans="1:19" x14ac:dyDescent="0.35">
      <c r="A2372" s="82"/>
      <c r="B2372" s="19"/>
      <c r="C2372" s="19"/>
      <c r="D2372" s="19"/>
      <c r="E2372" s="19"/>
      <c r="F2372" s="19"/>
      <c r="G2372" s="19"/>
      <c r="H2372" s="19"/>
      <c r="I2372" s="19"/>
      <c r="J2372" s="19"/>
      <c r="K2372" s="19"/>
      <c r="L2372" s="19"/>
      <c r="M2372" s="19"/>
      <c r="N2372" s="19"/>
      <c r="O2372" s="19"/>
      <c r="P2372" s="19"/>
      <c r="Q2372" s="19"/>
      <c r="R2372" s="20"/>
    </row>
    <row r="2373" spans="1:19" x14ac:dyDescent="0.35">
      <c r="A2373" s="81"/>
      <c r="B2373" s="17"/>
      <c r="C2373" s="17"/>
      <c r="D2373" s="17"/>
      <c r="E2373" s="17"/>
      <c r="F2373" s="17"/>
      <c r="G2373" s="17"/>
      <c r="H2373" s="17"/>
      <c r="I2373" s="17"/>
      <c r="J2373" s="17"/>
      <c r="K2373" s="17"/>
      <c r="L2373" s="19"/>
      <c r="M2373" s="19"/>
      <c r="N2373" s="19"/>
      <c r="O2373" s="17"/>
      <c r="P2373" s="17"/>
      <c r="Q2373" s="17"/>
      <c r="R2373" s="18"/>
    </row>
    <row r="2374" spans="1:19" x14ac:dyDescent="0.35">
      <c r="A2374" s="82"/>
      <c r="B2374" s="19"/>
      <c r="C2374" s="19"/>
      <c r="D2374" s="19"/>
      <c r="E2374" s="19"/>
      <c r="F2374" s="19"/>
      <c r="G2374" s="19"/>
      <c r="H2374" s="19"/>
      <c r="I2374" s="19"/>
      <c r="J2374" s="19"/>
      <c r="K2374" s="19"/>
      <c r="L2374" s="19"/>
      <c r="M2374" s="19"/>
      <c r="N2374" s="19"/>
      <c r="O2374" s="19"/>
      <c r="P2374" s="19"/>
      <c r="Q2374" s="19"/>
      <c r="R2374" s="20"/>
    </row>
    <row r="2375" spans="1:19" x14ac:dyDescent="0.35">
      <c r="A2375" s="82"/>
      <c r="B2375" s="19"/>
      <c r="C2375" s="19"/>
      <c r="D2375" s="19"/>
      <c r="E2375" s="19"/>
      <c r="F2375" s="19"/>
      <c r="G2375" s="19"/>
      <c r="H2375" s="19"/>
      <c r="I2375" s="19"/>
      <c r="J2375" s="19"/>
      <c r="K2375" s="19"/>
      <c r="L2375" s="19"/>
      <c r="M2375" s="19"/>
      <c r="N2375" s="19"/>
      <c r="O2375" s="19"/>
      <c r="P2375" s="19"/>
      <c r="Q2375" s="19"/>
      <c r="R2375" s="20"/>
    </row>
    <row r="2376" spans="1:19" x14ac:dyDescent="0.35">
      <c r="A2376" s="82"/>
      <c r="B2376" s="19"/>
      <c r="C2376" s="19"/>
      <c r="D2376" s="19"/>
      <c r="E2376" s="19"/>
      <c r="F2376" s="19"/>
      <c r="G2376" s="19"/>
      <c r="H2376" s="19"/>
      <c r="I2376" s="19"/>
      <c r="J2376" s="19"/>
      <c r="K2376" s="19"/>
      <c r="L2376" s="19"/>
      <c r="M2376" s="19"/>
      <c r="N2376" s="19"/>
      <c r="O2376" s="19"/>
      <c r="P2376" s="19"/>
      <c r="Q2376" s="19"/>
      <c r="R2376" s="20"/>
    </row>
    <row r="2377" spans="1:19" x14ac:dyDescent="0.35">
      <c r="A2377" s="82"/>
      <c r="B2377" s="19"/>
      <c r="C2377" s="19"/>
      <c r="D2377" s="19"/>
      <c r="E2377" s="19"/>
      <c r="F2377" s="19"/>
      <c r="G2377" s="19"/>
      <c r="H2377" s="19"/>
      <c r="I2377" s="19"/>
      <c r="J2377" s="19"/>
      <c r="K2377" s="19"/>
      <c r="L2377" s="19"/>
      <c r="M2377" s="19"/>
      <c r="N2377" s="19"/>
      <c r="O2377" s="19"/>
      <c r="P2377" s="19"/>
      <c r="Q2377" s="19"/>
      <c r="R2377" s="20"/>
    </row>
    <row r="2378" spans="1:19" x14ac:dyDescent="0.35">
      <c r="A2378" s="82"/>
      <c r="B2378" s="19"/>
      <c r="C2378" s="19"/>
      <c r="D2378" s="19"/>
      <c r="E2378" s="19"/>
      <c r="F2378" s="19"/>
      <c r="G2378" s="19"/>
      <c r="H2378" s="19"/>
      <c r="I2378" s="19"/>
      <c r="J2378" s="19"/>
      <c r="K2378" s="19"/>
      <c r="L2378" s="19"/>
      <c r="M2378" s="19"/>
      <c r="N2378" s="19"/>
      <c r="O2378" s="19"/>
      <c r="P2378" s="19"/>
      <c r="Q2378" s="19"/>
      <c r="R2378" s="20"/>
    </row>
    <row r="2379" spans="1:19" x14ac:dyDescent="0.35">
      <c r="A2379" s="82"/>
      <c r="B2379" s="19"/>
      <c r="C2379" s="19"/>
      <c r="D2379" s="19"/>
      <c r="E2379" s="19"/>
      <c r="F2379" s="19"/>
      <c r="G2379" s="19"/>
      <c r="H2379" s="19"/>
      <c r="I2379" s="19"/>
      <c r="J2379" s="19"/>
      <c r="K2379" s="19"/>
      <c r="L2379" s="19"/>
      <c r="M2379" s="19"/>
      <c r="N2379" s="19"/>
      <c r="O2379" s="19"/>
      <c r="P2379" s="19"/>
      <c r="Q2379" s="19"/>
      <c r="R2379" s="20"/>
    </row>
    <row r="2380" spans="1:19" x14ac:dyDescent="0.35">
      <c r="A2380" s="82"/>
      <c r="B2380" s="19"/>
      <c r="C2380" s="19"/>
      <c r="D2380" s="19"/>
      <c r="E2380" s="19"/>
      <c r="F2380" s="19"/>
      <c r="G2380" s="19"/>
      <c r="H2380" s="19"/>
      <c r="I2380" s="19"/>
      <c r="J2380" s="19"/>
      <c r="K2380" s="19"/>
      <c r="L2380" s="19"/>
      <c r="M2380" s="19"/>
      <c r="N2380" s="19"/>
      <c r="O2380" s="19"/>
      <c r="P2380" s="19"/>
      <c r="Q2380" s="19"/>
      <c r="R2380" s="20"/>
    </row>
    <row r="2381" spans="1:19" x14ac:dyDescent="0.35">
      <c r="A2381" s="82"/>
      <c r="B2381" s="19"/>
      <c r="C2381" s="19"/>
      <c r="D2381" s="19"/>
      <c r="E2381" s="19"/>
      <c r="F2381" s="19"/>
      <c r="G2381" s="19"/>
      <c r="H2381" s="19"/>
      <c r="I2381" s="19"/>
      <c r="J2381" s="19"/>
      <c r="K2381" s="19"/>
      <c r="L2381" s="19"/>
      <c r="M2381" s="19"/>
      <c r="N2381" s="19"/>
      <c r="O2381" s="19"/>
      <c r="P2381" s="19"/>
      <c r="Q2381" s="19"/>
      <c r="R2381" s="20"/>
      <c r="S2381" s="30"/>
    </row>
    <row r="2382" spans="1:19" x14ac:dyDescent="0.35">
      <c r="A2382" s="81"/>
      <c r="B2382" s="17"/>
      <c r="C2382" s="17"/>
      <c r="D2382" s="17"/>
      <c r="E2382" s="17"/>
      <c r="F2382" s="17"/>
      <c r="G2382" s="17"/>
      <c r="H2382" s="17"/>
      <c r="I2382" s="17"/>
      <c r="J2382" s="17"/>
      <c r="K2382" s="17"/>
      <c r="L2382" s="17"/>
      <c r="M2382" s="17"/>
      <c r="N2382" s="17"/>
      <c r="O2382" s="17"/>
      <c r="P2382" s="17"/>
      <c r="Q2382" s="17"/>
      <c r="R2382" s="18"/>
    </row>
    <row r="2383" spans="1:19" x14ac:dyDescent="0.35">
      <c r="A2383" s="81"/>
      <c r="B2383" s="17"/>
      <c r="C2383" s="17"/>
      <c r="D2383" s="17"/>
      <c r="E2383" s="17"/>
      <c r="F2383" s="17"/>
      <c r="G2383" s="17"/>
      <c r="H2383" s="17"/>
      <c r="I2383" s="17"/>
      <c r="J2383" s="17"/>
      <c r="K2383" s="17"/>
      <c r="L2383" s="17"/>
      <c r="M2383" s="17"/>
      <c r="N2383" s="17"/>
      <c r="O2383" s="17"/>
      <c r="P2383" s="17"/>
      <c r="Q2383" s="17"/>
      <c r="R2383" s="18"/>
    </row>
    <row r="2384" spans="1:19" x14ac:dyDescent="0.35">
      <c r="A2384" s="81"/>
      <c r="B2384" s="17"/>
      <c r="C2384" s="17"/>
      <c r="D2384" s="17"/>
      <c r="E2384" s="17"/>
      <c r="F2384" s="17"/>
      <c r="G2384" s="17"/>
      <c r="H2384" s="17"/>
      <c r="I2384" s="17"/>
      <c r="J2384" s="17"/>
      <c r="K2384" s="17"/>
      <c r="L2384" s="17"/>
      <c r="M2384" s="17"/>
      <c r="N2384" s="17"/>
      <c r="O2384" s="17"/>
      <c r="P2384" s="17"/>
      <c r="Q2384" s="17"/>
      <c r="R2384" s="18"/>
      <c r="S2384" s="30"/>
    </row>
    <row r="2385" spans="1:19" x14ac:dyDescent="0.35">
      <c r="A2385" s="81"/>
      <c r="B2385" s="17"/>
      <c r="C2385" s="17"/>
      <c r="D2385" s="17"/>
      <c r="E2385" s="17"/>
      <c r="F2385" s="17"/>
      <c r="G2385" s="17"/>
      <c r="H2385" s="17"/>
      <c r="I2385" s="17"/>
      <c r="J2385" s="17"/>
      <c r="K2385" s="17"/>
      <c r="L2385" s="17"/>
      <c r="M2385" s="17"/>
      <c r="N2385" s="17"/>
      <c r="O2385" s="17"/>
      <c r="P2385" s="17"/>
      <c r="Q2385" s="17"/>
      <c r="R2385" s="18"/>
      <c r="S2385" s="30"/>
    </row>
    <row r="2386" spans="1:19" x14ac:dyDescent="0.35">
      <c r="A2386" s="81"/>
      <c r="B2386" s="17"/>
      <c r="C2386" s="17"/>
      <c r="D2386" s="17"/>
      <c r="E2386" s="17"/>
      <c r="F2386" s="17"/>
      <c r="G2386" s="17"/>
      <c r="H2386" s="17"/>
      <c r="I2386" s="17"/>
      <c r="J2386" s="17"/>
      <c r="K2386" s="17"/>
      <c r="L2386" s="17"/>
      <c r="M2386" s="17"/>
      <c r="N2386" s="17"/>
      <c r="O2386" s="17"/>
      <c r="P2386" s="17"/>
      <c r="Q2386" s="17"/>
      <c r="R2386" s="18"/>
      <c r="S2386" s="30"/>
    </row>
    <row r="2387" spans="1:19" x14ac:dyDescent="0.35">
      <c r="A2387" s="82"/>
      <c r="B2387" s="19"/>
      <c r="C2387" s="19"/>
      <c r="D2387" s="19"/>
      <c r="E2387" s="19"/>
      <c r="F2387" s="19"/>
      <c r="G2387" s="19"/>
      <c r="H2387" s="19"/>
      <c r="I2387" s="19"/>
      <c r="J2387" s="19"/>
      <c r="K2387" s="19"/>
      <c r="L2387" s="19"/>
      <c r="M2387" s="19"/>
      <c r="N2387" s="19"/>
      <c r="O2387" s="19"/>
      <c r="P2387" s="19"/>
      <c r="Q2387" s="19"/>
      <c r="R2387" s="20"/>
    </row>
    <row r="2388" spans="1:19" x14ac:dyDescent="0.35">
      <c r="A2388" s="81"/>
      <c r="B2388" s="17"/>
      <c r="C2388" s="17"/>
      <c r="D2388" s="17"/>
      <c r="E2388" s="17"/>
      <c r="F2388" s="17"/>
      <c r="G2388" s="17"/>
      <c r="H2388" s="17"/>
      <c r="I2388" s="17"/>
      <c r="J2388" s="17"/>
      <c r="K2388" s="17"/>
      <c r="L2388" s="17"/>
      <c r="M2388" s="17"/>
      <c r="N2388" s="17"/>
      <c r="O2388" s="17"/>
      <c r="P2388" s="17"/>
      <c r="Q2388" s="17"/>
      <c r="R2388" s="18"/>
    </row>
    <row r="2389" spans="1:19" x14ac:dyDescent="0.35">
      <c r="A2389" s="81"/>
      <c r="B2389" s="17"/>
      <c r="C2389" s="17"/>
      <c r="D2389" s="17"/>
      <c r="E2389" s="17"/>
      <c r="F2389" s="17"/>
      <c r="G2389" s="17"/>
      <c r="H2389" s="17"/>
      <c r="I2389" s="17"/>
      <c r="J2389" s="17"/>
      <c r="K2389" s="17"/>
      <c r="L2389" s="19"/>
      <c r="M2389" s="19"/>
      <c r="N2389" s="19"/>
      <c r="O2389" s="17"/>
      <c r="P2389" s="17"/>
      <c r="Q2389" s="17"/>
      <c r="R2389" s="18"/>
    </row>
    <row r="2390" spans="1:19" x14ac:dyDescent="0.35">
      <c r="A2390" s="81"/>
      <c r="B2390" s="17"/>
      <c r="C2390" s="17"/>
      <c r="D2390" s="17"/>
      <c r="E2390" s="17"/>
      <c r="F2390" s="17"/>
      <c r="G2390" s="17"/>
      <c r="H2390" s="17"/>
      <c r="I2390" s="17"/>
      <c r="J2390" s="17"/>
      <c r="K2390" s="17"/>
      <c r="L2390" s="17"/>
      <c r="M2390" s="17"/>
      <c r="N2390" s="17"/>
      <c r="O2390" s="17"/>
      <c r="P2390" s="17"/>
      <c r="Q2390" s="17"/>
      <c r="R2390" s="18"/>
      <c r="S2390" s="30"/>
    </row>
    <row r="2391" spans="1:19" x14ac:dyDescent="0.35">
      <c r="A2391" s="81"/>
      <c r="B2391" s="17"/>
      <c r="C2391" s="17"/>
      <c r="D2391" s="17"/>
      <c r="E2391" s="17"/>
      <c r="F2391" s="17"/>
      <c r="G2391" s="17"/>
      <c r="H2391" s="17"/>
      <c r="I2391" s="17"/>
      <c r="J2391" s="17"/>
      <c r="K2391" s="17"/>
      <c r="L2391" s="17"/>
      <c r="M2391" s="17"/>
      <c r="N2391" s="17"/>
      <c r="O2391" s="17"/>
      <c r="P2391" s="17"/>
      <c r="Q2391" s="17"/>
      <c r="R2391" s="18"/>
      <c r="S2391" s="30"/>
    </row>
    <row r="2392" spans="1:19" x14ac:dyDescent="0.35">
      <c r="A2392" s="81"/>
      <c r="B2392" s="17"/>
      <c r="C2392" s="17"/>
      <c r="D2392" s="17"/>
      <c r="E2392" s="17"/>
      <c r="F2392" s="17"/>
      <c r="G2392" s="17"/>
      <c r="H2392" s="17"/>
      <c r="I2392" s="17"/>
      <c r="J2392" s="17"/>
      <c r="K2392" s="17"/>
      <c r="L2392" s="17"/>
      <c r="M2392" s="17"/>
      <c r="N2392" s="17"/>
      <c r="O2392" s="17"/>
      <c r="P2392" s="17"/>
      <c r="Q2392" s="17"/>
      <c r="R2392" s="18"/>
    </row>
    <row r="2393" spans="1:19" x14ac:dyDescent="0.35">
      <c r="A2393" s="81"/>
      <c r="B2393" s="17"/>
      <c r="C2393" s="17"/>
      <c r="D2393" s="17"/>
      <c r="E2393" s="17"/>
      <c r="F2393" s="17"/>
      <c r="G2393" s="17"/>
      <c r="H2393" s="17"/>
      <c r="I2393" s="17"/>
      <c r="J2393" s="17"/>
      <c r="K2393" s="17"/>
      <c r="L2393" s="17"/>
      <c r="M2393" s="17"/>
      <c r="N2393" s="17"/>
      <c r="O2393" s="19"/>
      <c r="P2393" s="17"/>
      <c r="Q2393" s="17"/>
      <c r="R2393" s="18"/>
    </row>
    <row r="2394" spans="1:19" x14ac:dyDescent="0.35">
      <c r="A2394" s="82"/>
      <c r="B2394" s="19"/>
      <c r="C2394" s="19"/>
      <c r="D2394" s="19"/>
      <c r="E2394" s="19"/>
      <c r="F2394" s="19"/>
      <c r="G2394" s="19"/>
      <c r="H2394" s="19"/>
      <c r="I2394" s="19"/>
      <c r="J2394" s="19"/>
      <c r="K2394" s="19"/>
      <c r="L2394" s="19"/>
      <c r="M2394" s="19"/>
      <c r="N2394" s="19"/>
      <c r="O2394" s="19"/>
      <c r="P2394" s="19"/>
      <c r="Q2394" s="19"/>
      <c r="R2394" s="20"/>
    </row>
    <row r="2395" spans="1:19" x14ac:dyDescent="0.35">
      <c r="A2395" s="82"/>
      <c r="B2395" s="19"/>
      <c r="C2395" s="19"/>
      <c r="D2395" s="19"/>
      <c r="E2395" s="19"/>
      <c r="F2395" s="19"/>
      <c r="G2395" s="19"/>
      <c r="H2395" s="19"/>
      <c r="I2395" s="19"/>
      <c r="J2395" s="19"/>
      <c r="K2395" s="19"/>
      <c r="L2395" s="19"/>
      <c r="M2395" s="19"/>
      <c r="N2395" s="19"/>
      <c r="O2395" s="19"/>
      <c r="P2395" s="19"/>
      <c r="Q2395" s="19"/>
      <c r="R2395" s="20"/>
    </row>
    <row r="2396" spans="1:19" x14ac:dyDescent="0.35">
      <c r="A2396" s="82"/>
      <c r="B2396" s="19"/>
      <c r="C2396" s="19"/>
      <c r="D2396" s="19"/>
      <c r="E2396" s="19"/>
      <c r="F2396" s="19"/>
      <c r="G2396" s="19"/>
      <c r="H2396" s="19"/>
      <c r="I2396" s="19"/>
      <c r="J2396" s="19"/>
      <c r="K2396" s="19"/>
      <c r="L2396" s="19"/>
      <c r="M2396" s="19"/>
      <c r="N2396" s="19"/>
      <c r="O2396" s="19"/>
      <c r="P2396" s="19"/>
      <c r="Q2396" s="19"/>
      <c r="R2396" s="20"/>
    </row>
    <row r="2397" spans="1:19" x14ac:dyDescent="0.35">
      <c r="A2397" s="82"/>
      <c r="B2397" s="19"/>
      <c r="C2397" s="19"/>
      <c r="D2397" s="19"/>
      <c r="E2397" s="19"/>
      <c r="F2397" s="19"/>
      <c r="G2397" s="19"/>
      <c r="H2397" s="19"/>
      <c r="I2397" s="19"/>
      <c r="J2397" s="19"/>
      <c r="K2397" s="19"/>
      <c r="L2397" s="19"/>
      <c r="M2397" s="19"/>
      <c r="N2397" s="19"/>
      <c r="O2397" s="19"/>
      <c r="P2397" s="19"/>
      <c r="Q2397" s="19"/>
      <c r="R2397" s="20"/>
      <c r="S2397" s="30"/>
    </row>
    <row r="2398" spans="1:19" x14ac:dyDescent="0.35">
      <c r="A2398" s="81"/>
      <c r="B2398" s="17"/>
      <c r="C2398" s="17"/>
      <c r="D2398" s="17"/>
      <c r="E2398" s="17"/>
      <c r="F2398" s="17"/>
      <c r="G2398" s="17"/>
      <c r="H2398" s="17"/>
      <c r="I2398" s="17"/>
      <c r="J2398" s="17"/>
      <c r="K2398" s="17"/>
      <c r="L2398" s="17"/>
      <c r="M2398" s="17"/>
      <c r="N2398" s="17"/>
      <c r="O2398" s="17"/>
      <c r="P2398" s="17"/>
      <c r="Q2398" s="17"/>
      <c r="R2398" s="18"/>
      <c r="S2398" s="30"/>
    </row>
    <row r="2399" spans="1:19" x14ac:dyDescent="0.35">
      <c r="A2399" s="82"/>
      <c r="B2399" s="19"/>
      <c r="C2399" s="19"/>
      <c r="D2399" s="19"/>
      <c r="E2399" s="19"/>
      <c r="F2399" s="19"/>
      <c r="G2399" s="19"/>
      <c r="H2399" s="19"/>
      <c r="I2399" s="19"/>
      <c r="J2399" s="19"/>
      <c r="K2399" s="19"/>
      <c r="L2399" s="19"/>
      <c r="M2399" s="19"/>
      <c r="N2399" s="19"/>
      <c r="O2399" s="19"/>
      <c r="P2399" s="19"/>
      <c r="Q2399" s="19"/>
      <c r="R2399" s="20"/>
    </row>
    <row r="2400" spans="1:19" x14ac:dyDescent="0.35">
      <c r="A2400" s="82"/>
      <c r="B2400" s="19"/>
      <c r="C2400" s="19"/>
      <c r="D2400" s="19"/>
      <c r="E2400" s="19"/>
      <c r="F2400" s="19"/>
      <c r="G2400" s="19"/>
      <c r="H2400" s="19"/>
      <c r="I2400" s="19"/>
      <c r="J2400" s="19"/>
      <c r="K2400" s="19"/>
      <c r="L2400" s="19"/>
      <c r="M2400" s="19"/>
      <c r="N2400" s="19"/>
      <c r="O2400" s="19"/>
      <c r="P2400" s="19"/>
      <c r="Q2400" s="19"/>
      <c r="R2400" s="20"/>
    </row>
    <row r="2401" spans="1:19" x14ac:dyDescent="0.35">
      <c r="A2401" s="82"/>
      <c r="B2401" s="19"/>
      <c r="C2401" s="19"/>
      <c r="D2401" s="19"/>
      <c r="E2401" s="19"/>
      <c r="F2401" s="19"/>
      <c r="G2401" s="19"/>
      <c r="H2401" s="19"/>
      <c r="I2401" s="19"/>
      <c r="J2401" s="19"/>
      <c r="K2401" s="19"/>
      <c r="L2401" s="19"/>
      <c r="M2401" s="19"/>
      <c r="N2401" s="19"/>
      <c r="O2401" s="19"/>
      <c r="P2401" s="19"/>
      <c r="Q2401" s="19"/>
      <c r="R2401" s="20"/>
    </row>
    <row r="2402" spans="1:19" x14ac:dyDescent="0.35">
      <c r="A2402" s="82"/>
      <c r="B2402" s="19"/>
      <c r="C2402" s="19"/>
      <c r="D2402" s="19"/>
      <c r="E2402" s="19"/>
      <c r="F2402" s="19"/>
      <c r="G2402" s="19"/>
      <c r="H2402" s="19"/>
      <c r="I2402" s="19"/>
      <c r="J2402" s="19"/>
      <c r="K2402" s="19"/>
      <c r="L2402" s="19"/>
      <c r="M2402" s="19"/>
      <c r="N2402" s="19"/>
      <c r="O2402" s="19"/>
      <c r="P2402" s="19"/>
      <c r="Q2402" s="19"/>
      <c r="R2402" s="20"/>
    </row>
    <row r="2403" spans="1:19" x14ac:dyDescent="0.35">
      <c r="A2403" s="82"/>
      <c r="B2403" s="19"/>
      <c r="C2403" s="19"/>
      <c r="D2403" s="19"/>
      <c r="E2403" s="19"/>
      <c r="F2403" s="19"/>
      <c r="G2403" s="19"/>
      <c r="H2403" s="19"/>
      <c r="I2403" s="19"/>
      <c r="J2403" s="19"/>
      <c r="K2403" s="19"/>
      <c r="L2403" s="19"/>
      <c r="M2403" s="19"/>
      <c r="N2403" s="19"/>
      <c r="O2403" s="19"/>
      <c r="P2403" s="19"/>
      <c r="Q2403" s="19"/>
      <c r="R2403" s="20"/>
    </row>
    <row r="2404" spans="1:19" x14ac:dyDescent="0.35">
      <c r="A2404" s="81"/>
      <c r="B2404" s="17"/>
      <c r="C2404" s="17"/>
      <c r="D2404" s="17"/>
      <c r="E2404" s="17"/>
      <c r="F2404" s="17"/>
      <c r="G2404" s="17"/>
      <c r="H2404" s="17"/>
      <c r="I2404" s="17"/>
      <c r="J2404" s="17"/>
      <c r="K2404" s="17"/>
      <c r="L2404" s="19"/>
      <c r="M2404" s="19"/>
      <c r="N2404" s="19"/>
      <c r="O2404" s="17"/>
      <c r="P2404" s="17"/>
      <c r="Q2404" s="17"/>
      <c r="R2404" s="18"/>
    </row>
    <row r="2405" spans="1:19" x14ac:dyDescent="0.35">
      <c r="A2405" s="82"/>
      <c r="B2405" s="19"/>
      <c r="C2405" s="19"/>
      <c r="D2405" s="19"/>
      <c r="E2405" s="19"/>
      <c r="F2405" s="19"/>
      <c r="G2405" s="19"/>
      <c r="H2405" s="19"/>
      <c r="I2405" s="19"/>
      <c r="J2405" s="19"/>
      <c r="K2405" s="19"/>
      <c r="L2405" s="19"/>
      <c r="M2405" s="19"/>
      <c r="N2405" s="19"/>
      <c r="O2405" s="19"/>
      <c r="P2405" s="19"/>
      <c r="Q2405" s="19"/>
      <c r="R2405" s="20"/>
    </row>
    <row r="2406" spans="1:19" x14ac:dyDescent="0.35">
      <c r="A2406" s="82"/>
      <c r="B2406" s="19"/>
      <c r="C2406" s="19"/>
      <c r="D2406" s="19"/>
      <c r="E2406" s="19"/>
      <c r="F2406" s="19"/>
      <c r="G2406" s="19"/>
      <c r="H2406" s="19"/>
      <c r="I2406" s="19"/>
      <c r="J2406" s="19"/>
      <c r="K2406" s="19"/>
      <c r="L2406" s="19"/>
      <c r="M2406" s="19"/>
      <c r="N2406" s="19"/>
      <c r="O2406" s="19"/>
      <c r="P2406" s="19"/>
      <c r="Q2406" s="19"/>
      <c r="R2406" s="20"/>
    </row>
    <row r="2407" spans="1:19" x14ac:dyDescent="0.35">
      <c r="A2407" s="82"/>
      <c r="B2407" s="19"/>
      <c r="C2407" s="19"/>
      <c r="D2407" s="19"/>
      <c r="E2407" s="19"/>
      <c r="F2407" s="19"/>
      <c r="G2407" s="19"/>
      <c r="H2407" s="19"/>
      <c r="I2407" s="19"/>
      <c r="J2407" s="19"/>
      <c r="K2407" s="19"/>
      <c r="L2407" s="19"/>
      <c r="M2407" s="19"/>
      <c r="N2407" s="19"/>
      <c r="O2407" s="19"/>
      <c r="P2407" s="19"/>
      <c r="Q2407" s="19"/>
      <c r="R2407" s="20"/>
    </row>
    <row r="2408" spans="1:19" x14ac:dyDescent="0.35">
      <c r="A2408" s="82"/>
      <c r="B2408" s="19"/>
      <c r="C2408" s="19"/>
      <c r="D2408" s="19"/>
      <c r="E2408" s="19"/>
      <c r="F2408" s="19"/>
      <c r="G2408" s="19"/>
      <c r="H2408" s="19"/>
      <c r="I2408" s="19"/>
      <c r="J2408" s="19"/>
      <c r="K2408" s="19"/>
      <c r="L2408" s="19"/>
      <c r="M2408" s="19"/>
      <c r="N2408" s="19"/>
      <c r="O2408" s="19"/>
      <c r="P2408" s="19"/>
      <c r="Q2408" s="19"/>
      <c r="R2408" s="20"/>
    </row>
    <row r="2409" spans="1:19" x14ac:dyDescent="0.35">
      <c r="A2409" s="82"/>
      <c r="B2409" s="19"/>
      <c r="C2409" s="19"/>
      <c r="D2409" s="19"/>
      <c r="E2409" s="19"/>
      <c r="F2409" s="19"/>
      <c r="G2409" s="19"/>
      <c r="H2409" s="19"/>
      <c r="I2409" s="19"/>
      <c r="J2409" s="19"/>
      <c r="K2409" s="19"/>
      <c r="L2409" s="19"/>
      <c r="M2409" s="19"/>
      <c r="N2409" s="19"/>
      <c r="O2409" s="19"/>
      <c r="P2409" s="19"/>
      <c r="Q2409" s="19"/>
      <c r="R2409" s="20"/>
    </row>
    <row r="2410" spans="1:19" x14ac:dyDescent="0.35">
      <c r="A2410" s="82"/>
      <c r="B2410" s="19"/>
      <c r="C2410" s="19"/>
      <c r="D2410" s="19"/>
      <c r="E2410" s="19"/>
      <c r="F2410" s="19"/>
      <c r="G2410" s="19"/>
      <c r="H2410" s="19"/>
      <c r="I2410" s="19"/>
      <c r="J2410" s="19"/>
      <c r="K2410" s="19"/>
      <c r="L2410" s="19"/>
      <c r="M2410" s="19"/>
      <c r="N2410" s="19"/>
      <c r="O2410" s="19"/>
      <c r="P2410" s="19"/>
      <c r="Q2410" s="19"/>
      <c r="R2410" s="20"/>
    </row>
    <row r="2411" spans="1:19" x14ac:dyDescent="0.35">
      <c r="A2411" s="82"/>
      <c r="B2411" s="19"/>
      <c r="C2411" s="19"/>
      <c r="D2411" s="19"/>
      <c r="E2411" s="19"/>
      <c r="F2411" s="19"/>
      <c r="G2411" s="19"/>
      <c r="H2411" s="19"/>
      <c r="I2411" s="19"/>
      <c r="J2411" s="19"/>
      <c r="K2411" s="19"/>
      <c r="L2411" s="19"/>
      <c r="M2411" s="19"/>
      <c r="N2411" s="19"/>
      <c r="O2411" s="19"/>
      <c r="P2411" s="19"/>
      <c r="Q2411" s="19"/>
      <c r="R2411" s="20"/>
    </row>
    <row r="2412" spans="1:19" x14ac:dyDescent="0.35">
      <c r="A2412" s="82"/>
      <c r="B2412" s="19"/>
      <c r="C2412" s="19"/>
      <c r="D2412" s="19"/>
      <c r="E2412" s="19"/>
      <c r="F2412" s="19"/>
      <c r="G2412" s="19"/>
      <c r="H2412" s="19"/>
      <c r="I2412" s="19"/>
      <c r="J2412" s="19"/>
      <c r="K2412" s="19"/>
      <c r="L2412" s="19"/>
      <c r="M2412" s="19"/>
      <c r="N2412" s="19"/>
      <c r="O2412" s="19"/>
      <c r="P2412" s="19"/>
      <c r="Q2412" s="19"/>
      <c r="R2412" s="20"/>
    </row>
    <row r="2413" spans="1:19" x14ac:dyDescent="0.35">
      <c r="A2413" s="82"/>
      <c r="B2413" s="19"/>
      <c r="C2413" s="19"/>
      <c r="D2413" s="19"/>
      <c r="E2413" s="19"/>
      <c r="F2413" s="19"/>
      <c r="G2413" s="19"/>
      <c r="H2413" s="19"/>
      <c r="I2413" s="19"/>
      <c r="J2413" s="19"/>
      <c r="K2413" s="19"/>
      <c r="L2413" s="19"/>
      <c r="M2413" s="19"/>
      <c r="N2413" s="19"/>
      <c r="O2413" s="19"/>
      <c r="P2413" s="19"/>
      <c r="Q2413" s="19"/>
      <c r="R2413" s="20"/>
    </row>
    <row r="2414" spans="1:19" x14ac:dyDescent="0.35">
      <c r="A2414" s="81"/>
      <c r="B2414" s="17"/>
      <c r="C2414" s="17"/>
      <c r="D2414" s="17"/>
      <c r="E2414" s="17"/>
      <c r="F2414" s="17"/>
      <c r="G2414" s="17"/>
      <c r="H2414" s="17"/>
      <c r="I2414" s="17"/>
      <c r="J2414" s="17"/>
      <c r="K2414" s="17"/>
      <c r="L2414" s="17"/>
      <c r="M2414" s="17"/>
      <c r="N2414" s="17"/>
      <c r="O2414" s="17"/>
      <c r="P2414" s="17"/>
      <c r="Q2414" s="17"/>
      <c r="R2414" s="18"/>
    </row>
    <row r="2415" spans="1:19" x14ac:dyDescent="0.35">
      <c r="A2415" s="81"/>
      <c r="B2415" s="17"/>
      <c r="C2415" s="17"/>
      <c r="D2415" s="17"/>
      <c r="E2415" s="17"/>
      <c r="F2415" s="17"/>
      <c r="G2415" s="17"/>
      <c r="H2415" s="17"/>
      <c r="I2415" s="17"/>
      <c r="J2415" s="17"/>
      <c r="K2415" s="17"/>
      <c r="L2415" s="17"/>
      <c r="M2415" s="17"/>
      <c r="N2415" s="17"/>
      <c r="O2415" s="17"/>
      <c r="P2415" s="17"/>
      <c r="Q2415" s="17"/>
      <c r="R2415" s="18"/>
      <c r="S2415" s="30"/>
    </row>
    <row r="2416" spans="1:19" x14ac:dyDescent="0.35">
      <c r="A2416" s="82"/>
      <c r="B2416" s="19"/>
      <c r="C2416" s="19"/>
      <c r="D2416" s="19"/>
      <c r="E2416" s="19"/>
      <c r="F2416" s="19"/>
      <c r="G2416" s="19"/>
      <c r="H2416" s="19"/>
      <c r="I2416" s="19"/>
      <c r="J2416" s="19"/>
      <c r="K2416" s="19"/>
      <c r="L2416" s="19"/>
      <c r="M2416" s="19"/>
      <c r="N2416" s="19"/>
      <c r="O2416" s="19"/>
      <c r="P2416" s="19"/>
      <c r="Q2416" s="19"/>
      <c r="R2416" s="20"/>
    </row>
    <row r="2417" spans="1:19" x14ac:dyDescent="0.35">
      <c r="A2417" s="82"/>
      <c r="B2417" s="19"/>
      <c r="C2417" s="19"/>
      <c r="D2417" s="19"/>
      <c r="E2417" s="19"/>
      <c r="F2417" s="19"/>
      <c r="G2417" s="19"/>
      <c r="H2417" s="19"/>
      <c r="I2417" s="19"/>
      <c r="J2417" s="19"/>
      <c r="K2417" s="19"/>
      <c r="L2417" s="19"/>
      <c r="M2417" s="19"/>
      <c r="N2417" s="19"/>
      <c r="O2417" s="19"/>
      <c r="P2417" s="19"/>
      <c r="Q2417" s="19"/>
      <c r="R2417" s="20"/>
    </row>
    <row r="2418" spans="1:19" x14ac:dyDescent="0.35">
      <c r="A2418" s="82"/>
      <c r="B2418" s="19"/>
      <c r="C2418" s="19"/>
      <c r="D2418" s="19"/>
      <c r="E2418" s="19"/>
      <c r="F2418" s="19"/>
      <c r="G2418" s="19"/>
      <c r="H2418" s="19"/>
      <c r="I2418" s="19"/>
      <c r="J2418" s="19"/>
      <c r="K2418" s="19"/>
      <c r="L2418" s="19"/>
      <c r="M2418" s="19"/>
      <c r="N2418" s="19"/>
      <c r="O2418" s="19"/>
      <c r="P2418" s="19"/>
      <c r="Q2418" s="19"/>
      <c r="R2418" s="20"/>
    </row>
    <row r="2419" spans="1:19" x14ac:dyDescent="0.35">
      <c r="A2419" s="81"/>
      <c r="B2419" s="17"/>
      <c r="C2419" s="17"/>
      <c r="D2419" s="17"/>
      <c r="E2419" s="17"/>
      <c r="F2419" s="17"/>
      <c r="G2419" s="17"/>
      <c r="H2419" s="17"/>
      <c r="I2419" s="17"/>
      <c r="J2419" s="17"/>
      <c r="K2419" s="17"/>
      <c r="L2419" s="19"/>
      <c r="M2419" s="19"/>
      <c r="N2419" s="19"/>
      <c r="O2419" s="17"/>
      <c r="P2419" s="17"/>
      <c r="Q2419" s="17"/>
      <c r="R2419" s="18"/>
    </row>
    <row r="2420" spans="1:19" x14ac:dyDescent="0.35">
      <c r="A2420" s="81"/>
      <c r="B2420" s="17"/>
      <c r="C2420" s="17"/>
      <c r="D2420" s="17"/>
      <c r="E2420" s="17"/>
      <c r="F2420" s="17"/>
      <c r="G2420" s="17"/>
      <c r="H2420" s="17"/>
      <c r="I2420" s="17"/>
      <c r="J2420" s="17"/>
      <c r="K2420" s="17"/>
      <c r="L2420" s="17"/>
      <c r="M2420" s="17"/>
      <c r="N2420" s="17"/>
      <c r="O2420" s="17"/>
      <c r="P2420" s="17"/>
      <c r="Q2420" s="17"/>
      <c r="R2420" s="18"/>
      <c r="S2420" s="30"/>
    </row>
    <row r="2421" spans="1:19" x14ac:dyDescent="0.35">
      <c r="A2421" s="81"/>
      <c r="B2421" s="17"/>
      <c r="C2421" s="17"/>
      <c r="D2421" s="17"/>
      <c r="E2421" s="17"/>
      <c r="F2421" s="17"/>
      <c r="G2421" s="17"/>
      <c r="H2421" s="17"/>
      <c r="I2421" s="17"/>
      <c r="J2421" s="17"/>
      <c r="K2421" s="17"/>
      <c r="L2421" s="17"/>
      <c r="M2421" s="17"/>
      <c r="N2421" s="17"/>
      <c r="O2421" s="17"/>
      <c r="P2421" s="17"/>
      <c r="Q2421" s="17"/>
      <c r="R2421" s="18"/>
      <c r="S2421" s="30"/>
    </row>
    <row r="2422" spans="1:19" x14ac:dyDescent="0.35">
      <c r="A2422" s="81"/>
      <c r="B2422" s="17"/>
      <c r="C2422" s="17"/>
      <c r="D2422" s="17"/>
      <c r="E2422" s="17"/>
      <c r="F2422" s="17"/>
      <c r="G2422" s="17"/>
      <c r="H2422" s="17"/>
      <c r="I2422" s="17"/>
      <c r="J2422" s="17"/>
      <c r="K2422" s="17"/>
      <c r="L2422" s="17"/>
      <c r="M2422" s="17"/>
      <c r="N2422" s="17"/>
      <c r="O2422" s="17"/>
      <c r="P2422" s="17"/>
      <c r="Q2422" s="17"/>
      <c r="R2422" s="18"/>
      <c r="S2422" s="30"/>
    </row>
    <row r="2423" spans="1:19" x14ac:dyDescent="0.35">
      <c r="A2423" s="81"/>
      <c r="B2423" s="17"/>
      <c r="C2423" s="17"/>
      <c r="D2423" s="17"/>
      <c r="E2423" s="17"/>
      <c r="F2423" s="17"/>
      <c r="G2423" s="17"/>
      <c r="H2423" s="17"/>
      <c r="I2423" s="17"/>
      <c r="J2423" s="17"/>
      <c r="K2423" s="17"/>
      <c r="L2423" s="17"/>
      <c r="M2423" s="17"/>
      <c r="N2423" s="17"/>
      <c r="O2423" s="19"/>
      <c r="P2423" s="17"/>
      <c r="Q2423" s="17"/>
      <c r="R2423" s="18"/>
    </row>
    <row r="2424" spans="1:19" x14ac:dyDescent="0.35">
      <c r="A2424" s="82"/>
      <c r="B2424" s="19"/>
      <c r="C2424" s="19"/>
      <c r="D2424" s="19"/>
      <c r="E2424" s="19"/>
      <c r="F2424" s="19"/>
      <c r="G2424" s="19"/>
      <c r="H2424" s="19"/>
      <c r="I2424" s="19"/>
      <c r="J2424" s="19"/>
      <c r="K2424" s="19"/>
      <c r="L2424" s="19"/>
      <c r="M2424" s="19"/>
      <c r="N2424" s="19"/>
      <c r="O2424" s="19"/>
      <c r="P2424" s="19"/>
      <c r="Q2424" s="19"/>
      <c r="R2424" s="20"/>
    </row>
    <row r="2425" spans="1:19" x14ac:dyDescent="0.35">
      <c r="A2425" s="82"/>
      <c r="B2425" s="19"/>
      <c r="C2425" s="19"/>
      <c r="D2425" s="19"/>
      <c r="E2425" s="19"/>
      <c r="F2425" s="19"/>
      <c r="G2425" s="19"/>
      <c r="H2425" s="19"/>
      <c r="I2425" s="19"/>
      <c r="J2425" s="19"/>
      <c r="K2425" s="19"/>
      <c r="L2425" s="19"/>
      <c r="M2425" s="19"/>
      <c r="N2425" s="19"/>
      <c r="O2425" s="19"/>
      <c r="P2425" s="19"/>
      <c r="Q2425" s="19"/>
      <c r="R2425" s="20"/>
    </row>
    <row r="2426" spans="1:19" x14ac:dyDescent="0.35">
      <c r="A2426" s="82"/>
      <c r="B2426" s="19"/>
      <c r="C2426" s="19"/>
      <c r="D2426" s="19"/>
      <c r="E2426" s="19"/>
      <c r="F2426" s="19"/>
      <c r="G2426" s="19"/>
      <c r="H2426" s="19"/>
      <c r="I2426" s="19"/>
      <c r="J2426" s="19"/>
      <c r="K2426" s="19"/>
      <c r="L2426" s="19"/>
      <c r="M2426" s="19"/>
      <c r="N2426" s="19"/>
      <c r="O2426" s="19"/>
      <c r="P2426" s="19"/>
      <c r="Q2426" s="19"/>
      <c r="R2426" s="20"/>
    </row>
    <row r="2427" spans="1:19" x14ac:dyDescent="0.35">
      <c r="A2427" s="82"/>
      <c r="B2427" s="19"/>
      <c r="C2427" s="19"/>
      <c r="D2427" s="19"/>
      <c r="E2427" s="19"/>
      <c r="F2427" s="19"/>
      <c r="G2427" s="19"/>
      <c r="H2427" s="19"/>
      <c r="I2427" s="19"/>
      <c r="J2427" s="19"/>
      <c r="K2427" s="19"/>
      <c r="L2427" s="19"/>
      <c r="M2427" s="19"/>
      <c r="N2427" s="19"/>
      <c r="O2427" s="19"/>
      <c r="P2427" s="19"/>
      <c r="Q2427" s="19"/>
      <c r="R2427" s="20"/>
    </row>
    <row r="2428" spans="1:19" x14ac:dyDescent="0.35">
      <c r="A2428" s="82"/>
      <c r="B2428" s="19"/>
      <c r="C2428" s="19"/>
      <c r="D2428" s="19"/>
      <c r="E2428" s="19"/>
      <c r="F2428" s="19"/>
      <c r="G2428" s="19"/>
      <c r="H2428" s="19"/>
      <c r="I2428" s="19"/>
      <c r="J2428" s="19"/>
      <c r="K2428" s="19"/>
      <c r="L2428" s="19"/>
      <c r="M2428" s="19"/>
      <c r="N2428" s="19"/>
      <c r="O2428" s="19"/>
      <c r="P2428" s="19"/>
      <c r="Q2428" s="19"/>
      <c r="R2428" s="20"/>
    </row>
    <row r="2429" spans="1:19" x14ac:dyDescent="0.35">
      <c r="A2429" s="82"/>
      <c r="B2429" s="19"/>
      <c r="C2429" s="19"/>
      <c r="D2429" s="19"/>
      <c r="E2429" s="19"/>
      <c r="F2429" s="19"/>
      <c r="G2429" s="19"/>
      <c r="H2429" s="19"/>
      <c r="I2429" s="19"/>
      <c r="J2429" s="19"/>
      <c r="K2429" s="19"/>
      <c r="L2429" s="19"/>
      <c r="M2429" s="19"/>
      <c r="N2429" s="19"/>
      <c r="O2429" s="19"/>
      <c r="P2429" s="19"/>
      <c r="Q2429" s="19"/>
      <c r="R2429" s="20"/>
    </row>
    <row r="2430" spans="1:19" x14ac:dyDescent="0.35">
      <c r="A2430" s="81"/>
      <c r="B2430" s="17"/>
      <c r="C2430" s="17"/>
      <c r="D2430" s="17"/>
      <c r="E2430" s="17"/>
      <c r="F2430" s="17"/>
      <c r="G2430" s="17"/>
      <c r="H2430" s="17"/>
      <c r="I2430" s="17"/>
      <c r="J2430" s="17"/>
      <c r="K2430" s="17"/>
      <c r="L2430" s="17"/>
      <c r="M2430" s="17"/>
      <c r="N2430" s="17"/>
      <c r="O2430" s="17"/>
      <c r="P2430" s="17"/>
      <c r="Q2430" s="17"/>
      <c r="R2430" s="18"/>
      <c r="S2430" s="30"/>
    </row>
    <row r="2431" spans="1:19" x14ac:dyDescent="0.35">
      <c r="A2431" s="82"/>
      <c r="B2431" s="19"/>
      <c r="C2431" s="19"/>
      <c r="D2431" s="19"/>
      <c r="E2431" s="19"/>
      <c r="F2431" s="19"/>
      <c r="G2431" s="19"/>
      <c r="H2431" s="19"/>
      <c r="I2431" s="19"/>
      <c r="J2431" s="19"/>
      <c r="K2431" s="19"/>
      <c r="L2431" s="19"/>
      <c r="M2431" s="19"/>
      <c r="N2431" s="19"/>
      <c r="O2431" s="19"/>
      <c r="P2431" s="19"/>
      <c r="Q2431" s="19"/>
      <c r="R2431" s="20"/>
    </row>
    <row r="2432" spans="1:19" x14ac:dyDescent="0.35">
      <c r="A2432" s="82"/>
      <c r="B2432" s="19"/>
      <c r="C2432" s="19"/>
      <c r="D2432" s="19"/>
      <c r="E2432" s="19"/>
      <c r="F2432" s="19"/>
      <c r="G2432" s="19"/>
      <c r="H2432" s="19"/>
      <c r="I2432" s="19"/>
      <c r="J2432" s="19"/>
      <c r="K2432" s="19"/>
      <c r="L2432" s="19"/>
      <c r="M2432" s="19"/>
      <c r="N2432" s="19"/>
      <c r="O2432" s="19"/>
      <c r="P2432" s="19"/>
      <c r="Q2432" s="19"/>
      <c r="R2432" s="20"/>
    </row>
    <row r="2433" spans="1:19" x14ac:dyDescent="0.35">
      <c r="A2433" s="82"/>
      <c r="B2433" s="19"/>
      <c r="C2433" s="19"/>
      <c r="D2433" s="19"/>
      <c r="E2433" s="19"/>
      <c r="F2433" s="19"/>
      <c r="G2433" s="19"/>
      <c r="H2433" s="19"/>
      <c r="I2433" s="19"/>
      <c r="J2433" s="19"/>
      <c r="K2433" s="19"/>
      <c r="L2433" s="19"/>
      <c r="M2433" s="19"/>
      <c r="N2433" s="19"/>
      <c r="O2433" s="19"/>
      <c r="P2433" s="19"/>
      <c r="Q2433" s="19"/>
      <c r="R2433" s="20"/>
    </row>
    <row r="2434" spans="1:19" x14ac:dyDescent="0.35">
      <c r="A2434" s="81"/>
      <c r="B2434" s="17"/>
      <c r="C2434" s="17"/>
      <c r="D2434" s="17"/>
      <c r="E2434" s="17"/>
      <c r="F2434" s="17"/>
      <c r="G2434" s="17"/>
      <c r="H2434" s="17"/>
      <c r="I2434" s="17"/>
      <c r="J2434" s="17"/>
      <c r="K2434" s="17"/>
      <c r="L2434" s="19"/>
      <c r="M2434" s="19"/>
      <c r="N2434" s="19"/>
      <c r="O2434" s="17"/>
      <c r="P2434" s="17"/>
      <c r="Q2434" s="17"/>
      <c r="R2434" s="18"/>
      <c r="S2434" s="30"/>
    </row>
    <row r="2435" spans="1:19" x14ac:dyDescent="0.35">
      <c r="A2435" s="81"/>
      <c r="B2435" s="17"/>
      <c r="C2435" s="17"/>
      <c r="D2435" s="17"/>
      <c r="E2435" s="17"/>
      <c r="F2435" s="17"/>
      <c r="G2435" s="17"/>
      <c r="H2435" s="17"/>
      <c r="I2435" s="17"/>
      <c r="J2435" s="17"/>
      <c r="K2435" s="17"/>
      <c r="L2435" s="17"/>
      <c r="M2435" s="17"/>
      <c r="N2435" s="17"/>
      <c r="O2435" s="17"/>
      <c r="P2435" s="17"/>
      <c r="Q2435" s="17"/>
      <c r="R2435" s="18"/>
      <c r="S2435" s="30"/>
    </row>
    <row r="2436" spans="1:19" x14ac:dyDescent="0.35">
      <c r="A2436" s="82"/>
      <c r="B2436" s="19"/>
      <c r="C2436" s="19"/>
      <c r="D2436" s="19"/>
      <c r="E2436" s="19"/>
      <c r="F2436" s="19"/>
      <c r="G2436" s="19"/>
      <c r="H2436" s="19"/>
      <c r="I2436" s="19"/>
      <c r="J2436" s="19"/>
      <c r="K2436" s="19"/>
      <c r="L2436" s="19"/>
      <c r="M2436" s="19"/>
      <c r="N2436" s="19"/>
      <c r="O2436" s="19"/>
      <c r="P2436" s="19"/>
      <c r="Q2436" s="19"/>
      <c r="R2436" s="20"/>
    </row>
    <row r="2437" spans="1:19" x14ac:dyDescent="0.35">
      <c r="A2437" s="82"/>
      <c r="B2437" s="19"/>
      <c r="C2437" s="19"/>
      <c r="D2437" s="19"/>
      <c r="E2437" s="19"/>
      <c r="F2437" s="19"/>
      <c r="G2437" s="19"/>
      <c r="H2437" s="19"/>
      <c r="I2437" s="19"/>
      <c r="J2437" s="19"/>
      <c r="K2437" s="19"/>
      <c r="L2437" s="19"/>
      <c r="M2437" s="19"/>
      <c r="N2437" s="19"/>
      <c r="O2437" s="19"/>
      <c r="P2437" s="19"/>
      <c r="Q2437" s="19"/>
      <c r="R2437" s="20"/>
    </row>
    <row r="2438" spans="1:19" x14ac:dyDescent="0.35">
      <c r="A2438" s="82"/>
      <c r="B2438" s="19"/>
      <c r="C2438" s="19"/>
      <c r="D2438" s="19"/>
      <c r="E2438" s="19"/>
      <c r="F2438" s="19"/>
      <c r="G2438" s="19"/>
      <c r="H2438" s="19"/>
      <c r="I2438" s="19"/>
      <c r="J2438" s="19"/>
      <c r="K2438" s="19"/>
      <c r="L2438" s="19"/>
      <c r="M2438" s="19"/>
      <c r="N2438" s="19"/>
      <c r="O2438" s="19"/>
      <c r="P2438" s="19"/>
      <c r="Q2438" s="19"/>
      <c r="R2438" s="20"/>
    </row>
    <row r="2439" spans="1:19" x14ac:dyDescent="0.35">
      <c r="A2439" s="82"/>
      <c r="B2439" s="19"/>
      <c r="C2439" s="19"/>
      <c r="D2439" s="19"/>
      <c r="E2439" s="19"/>
      <c r="F2439" s="19"/>
      <c r="G2439" s="19"/>
      <c r="H2439" s="19"/>
      <c r="I2439" s="19"/>
      <c r="J2439" s="19"/>
      <c r="K2439" s="19"/>
      <c r="L2439" s="19"/>
      <c r="M2439" s="19"/>
      <c r="N2439" s="19"/>
      <c r="O2439" s="19"/>
      <c r="P2439" s="19"/>
      <c r="Q2439" s="19"/>
      <c r="R2439" s="20"/>
    </row>
    <row r="2440" spans="1:19" x14ac:dyDescent="0.35">
      <c r="A2440" s="82"/>
      <c r="B2440" s="19"/>
      <c r="C2440" s="19"/>
      <c r="D2440" s="19"/>
      <c r="E2440" s="19"/>
      <c r="F2440" s="19"/>
      <c r="G2440" s="19"/>
      <c r="H2440" s="19"/>
      <c r="I2440" s="19"/>
      <c r="J2440" s="19"/>
      <c r="K2440" s="19"/>
      <c r="L2440" s="19"/>
      <c r="M2440" s="19"/>
      <c r="N2440" s="19"/>
      <c r="O2440" s="19"/>
      <c r="P2440" s="19"/>
      <c r="Q2440" s="19"/>
      <c r="R2440" s="20"/>
    </row>
    <row r="2441" spans="1:19" x14ac:dyDescent="0.35">
      <c r="A2441" s="82"/>
      <c r="B2441" s="19"/>
      <c r="C2441" s="19"/>
      <c r="D2441" s="19"/>
      <c r="E2441" s="19"/>
      <c r="F2441" s="19"/>
      <c r="G2441" s="19"/>
      <c r="H2441" s="19"/>
      <c r="I2441" s="19"/>
      <c r="J2441" s="19"/>
      <c r="K2441" s="19"/>
      <c r="L2441" s="19"/>
      <c r="M2441" s="19"/>
      <c r="N2441" s="19"/>
      <c r="O2441" s="19"/>
      <c r="P2441" s="19"/>
      <c r="Q2441" s="19"/>
      <c r="R2441" s="20"/>
    </row>
    <row r="2442" spans="1:19" x14ac:dyDescent="0.35">
      <c r="A2442" s="81"/>
      <c r="B2442" s="17"/>
      <c r="C2442" s="17"/>
      <c r="D2442" s="17"/>
      <c r="E2442" s="17"/>
      <c r="F2442" s="17"/>
      <c r="G2442" s="17"/>
      <c r="H2442" s="17"/>
      <c r="I2442" s="17"/>
      <c r="J2442" s="17"/>
      <c r="K2442" s="17"/>
      <c r="L2442" s="17"/>
      <c r="M2442" s="17"/>
      <c r="N2442" s="17"/>
      <c r="O2442" s="17"/>
      <c r="P2442" s="17"/>
      <c r="Q2442" s="17"/>
      <c r="R2442" s="18"/>
    </row>
    <row r="2443" spans="1:19" x14ac:dyDescent="0.35">
      <c r="A2443" s="81"/>
      <c r="B2443" s="17"/>
      <c r="C2443" s="17"/>
      <c r="D2443" s="17"/>
      <c r="E2443" s="17"/>
      <c r="F2443" s="17"/>
      <c r="G2443" s="17"/>
      <c r="H2443" s="17"/>
      <c r="I2443" s="17"/>
      <c r="J2443" s="17"/>
      <c r="K2443" s="17"/>
      <c r="L2443" s="17"/>
      <c r="M2443" s="17"/>
      <c r="N2443" s="17"/>
      <c r="O2443" s="17"/>
      <c r="P2443" s="17"/>
      <c r="Q2443" s="17"/>
      <c r="R2443" s="18"/>
    </row>
    <row r="2444" spans="1:19" x14ac:dyDescent="0.35">
      <c r="A2444" s="81"/>
      <c r="B2444" s="17"/>
      <c r="C2444" s="17"/>
      <c r="D2444" s="17"/>
      <c r="E2444" s="17"/>
      <c r="F2444" s="17"/>
      <c r="G2444" s="17"/>
      <c r="H2444" s="17"/>
      <c r="I2444" s="17"/>
      <c r="J2444" s="17"/>
      <c r="K2444" s="17"/>
      <c r="L2444" s="17"/>
      <c r="M2444" s="17"/>
      <c r="N2444" s="17"/>
      <c r="O2444" s="17"/>
      <c r="P2444" s="17"/>
      <c r="Q2444" s="17"/>
      <c r="R2444" s="18"/>
    </row>
    <row r="2445" spans="1:19" x14ac:dyDescent="0.35">
      <c r="A2445" s="81"/>
      <c r="B2445" s="17"/>
      <c r="C2445" s="17"/>
      <c r="D2445" s="17"/>
      <c r="E2445" s="17"/>
      <c r="F2445" s="17"/>
      <c r="G2445" s="17"/>
      <c r="H2445" s="17"/>
      <c r="I2445" s="17"/>
      <c r="J2445" s="17"/>
      <c r="K2445" s="17"/>
      <c r="L2445" s="17"/>
      <c r="M2445" s="17"/>
      <c r="N2445" s="17"/>
      <c r="O2445" s="17"/>
      <c r="P2445" s="17"/>
      <c r="Q2445" s="17"/>
      <c r="R2445" s="18"/>
      <c r="S2445" s="30"/>
    </row>
    <row r="2446" spans="1:19" x14ac:dyDescent="0.35">
      <c r="A2446" s="82"/>
      <c r="B2446" s="19"/>
      <c r="C2446" s="19"/>
      <c r="D2446" s="19"/>
      <c r="E2446" s="19"/>
      <c r="F2446" s="19"/>
      <c r="G2446" s="19"/>
      <c r="H2446" s="19"/>
      <c r="I2446" s="19"/>
      <c r="J2446" s="19"/>
      <c r="K2446" s="19"/>
      <c r="L2446" s="19"/>
      <c r="M2446" s="19"/>
      <c r="N2446" s="19"/>
      <c r="O2446" s="19"/>
      <c r="P2446" s="19"/>
      <c r="Q2446" s="19"/>
      <c r="R2446" s="20"/>
    </row>
    <row r="2447" spans="1:19" x14ac:dyDescent="0.35">
      <c r="A2447" s="82"/>
      <c r="B2447" s="19"/>
      <c r="C2447" s="19"/>
      <c r="D2447" s="19"/>
      <c r="E2447" s="19"/>
      <c r="F2447" s="19"/>
      <c r="G2447" s="19"/>
      <c r="H2447" s="19"/>
      <c r="I2447" s="19"/>
      <c r="J2447" s="19"/>
      <c r="K2447" s="19"/>
      <c r="L2447" s="19"/>
      <c r="M2447" s="19"/>
      <c r="N2447" s="19"/>
      <c r="O2447" s="19"/>
      <c r="P2447" s="19"/>
      <c r="Q2447" s="19"/>
      <c r="R2447" s="20"/>
    </row>
    <row r="2448" spans="1:19" x14ac:dyDescent="0.35">
      <c r="A2448" s="81"/>
      <c r="B2448" s="17"/>
      <c r="C2448" s="17"/>
      <c r="D2448" s="17"/>
      <c r="E2448" s="17"/>
      <c r="F2448" s="17"/>
      <c r="G2448" s="17"/>
      <c r="H2448" s="17"/>
      <c r="I2448" s="17"/>
      <c r="J2448" s="17"/>
      <c r="K2448" s="17"/>
      <c r="L2448" s="19"/>
      <c r="M2448" s="19"/>
      <c r="N2448" s="19"/>
      <c r="O2448" s="17"/>
      <c r="P2448" s="17"/>
      <c r="Q2448" s="17"/>
      <c r="R2448" s="18"/>
    </row>
    <row r="2449" spans="1:19" x14ac:dyDescent="0.35">
      <c r="A2449" s="82"/>
      <c r="B2449" s="19"/>
      <c r="C2449" s="19"/>
      <c r="D2449" s="19"/>
      <c r="E2449" s="19"/>
      <c r="F2449" s="19"/>
      <c r="G2449" s="19"/>
      <c r="H2449" s="19"/>
      <c r="I2449" s="19"/>
      <c r="J2449" s="19"/>
      <c r="K2449" s="19"/>
      <c r="L2449" s="19"/>
      <c r="M2449" s="19"/>
      <c r="N2449" s="19"/>
      <c r="O2449" s="19"/>
      <c r="P2449" s="19"/>
      <c r="Q2449" s="19"/>
      <c r="R2449" s="20"/>
    </row>
    <row r="2450" spans="1:19" x14ac:dyDescent="0.35">
      <c r="A2450" s="82"/>
      <c r="B2450" s="19"/>
      <c r="C2450" s="19"/>
      <c r="D2450" s="19"/>
      <c r="E2450" s="19"/>
      <c r="F2450" s="19"/>
      <c r="G2450" s="19"/>
      <c r="H2450" s="19"/>
      <c r="I2450" s="19"/>
      <c r="J2450" s="19"/>
      <c r="K2450" s="19"/>
      <c r="L2450" s="19"/>
      <c r="M2450" s="19"/>
      <c r="N2450" s="19"/>
      <c r="O2450" s="19"/>
      <c r="P2450" s="19"/>
      <c r="Q2450" s="19"/>
      <c r="R2450" s="20"/>
    </row>
    <row r="2451" spans="1:19" x14ac:dyDescent="0.35">
      <c r="A2451" s="81"/>
      <c r="B2451" s="17"/>
      <c r="C2451" s="17"/>
      <c r="D2451" s="17"/>
      <c r="E2451" s="17"/>
      <c r="F2451" s="17"/>
      <c r="G2451" s="17"/>
      <c r="H2451" s="17"/>
      <c r="I2451" s="17"/>
      <c r="J2451" s="17"/>
      <c r="K2451" s="17"/>
      <c r="L2451" s="17"/>
      <c r="M2451" s="17"/>
      <c r="N2451" s="17"/>
      <c r="O2451" s="19"/>
      <c r="P2451" s="17"/>
      <c r="Q2451" s="17"/>
      <c r="R2451" s="18"/>
    </row>
    <row r="2452" spans="1:19" x14ac:dyDescent="0.35">
      <c r="A2452" s="82"/>
      <c r="B2452" s="19"/>
      <c r="C2452" s="19"/>
      <c r="D2452" s="19"/>
      <c r="E2452" s="19"/>
      <c r="F2452" s="19"/>
      <c r="G2452" s="19"/>
      <c r="H2452" s="19"/>
      <c r="I2452" s="19"/>
      <c r="J2452" s="19"/>
      <c r="K2452" s="19"/>
      <c r="L2452" s="19"/>
      <c r="M2452" s="19"/>
      <c r="N2452" s="19"/>
      <c r="O2452" s="19"/>
      <c r="P2452" s="19"/>
      <c r="Q2452" s="19"/>
      <c r="R2452" s="20"/>
    </row>
    <row r="2453" spans="1:19" x14ac:dyDescent="0.35">
      <c r="A2453" s="82"/>
      <c r="B2453" s="19"/>
      <c r="C2453" s="19"/>
      <c r="D2453" s="19"/>
      <c r="E2453" s="19"/>
      <c r="F2453" s="19"/>
      <c r="G2453" s="19"/>
      <c r="H2453" s="19"/>
      <c r="I2453" s="19"/>
      <c r="J2453" s="19"/>
      <c r="K2453" s="19"/>
      <c r="L2453" s="19"/>
      <c r="M2453" s="19"/>
      <c r="N2453" s="19"/>
      <c r="O2453" s="19"/>
      <c r="P2453" s="19"/>
      <c r="Q2453" s="19"/>
      <c r="R2453" s="20"/>
    </row>
    <row r="2454" spans="1:19" x14ac:dyDescent="0.35">
      <c r="A2454" s="82"/>
      <c r="B2454" s="19"/>
      <c r="C2454" s="19"/>
      <c r="D2454" s="19"/>
      <c r="E2454" s="19"/>
      <c r="F2454" s="19"/>
      <c r="G2454" s="19"/>
      <c r="H2454" s="19"/>
      <c r="I2454" s="19"/>
      <c r="J2454" s="19"/>
      <c r="K2454" s="19"/>
      <c r="L2454" s="19"/>
      <c r="M2454" s="19"/>
      <c r="N2454" s="19"/>
      <c r="O2454" s="19"/>
      <c r="P2454" s="19"/>
      <c r="Q2454" s="19"/>
      <c r="R2454" s="20"/>
    </row>
    <row r="2455" spans="1:19" x14ac:dyDescent="0.35">
      <c r="A2455" s="82"/>
      <c r="B2455" s="19"/>
      <c r="C2455" s="19"/>
      <c r="D2455" s="19"/>
      <c r="E2455" s="19"/>
      <c r="F2455" s="19"/>
      <c r="G2455" s="19"/>
      <c r="H2455" s="19"/>
      <c r="I2455" s="19"/>
      <c r="J2455" s="19"/>
      <c r="K2455" s="19"/>
      <c r="L2455" s="19"/>
      <c r="M2455" s="19"/>
      <c r="N2455" s="19"/>
      <c r="O2455" s="19"/>
      <c r="P2455" s="19"/>
      <c r="Q2455" s="19"/>
      <c r="R2455" s="20"/>
      <c r="S2455" s="30"/>
    </row>
    <row r="2456" spans="1:19" x14ac:dyDescent="0.35">
      <c r="A2456" s="81"/>
      <c r="B2456" s="17"/>
      <c r="C2456" s="17"/>
      <c r="D2456" s="17"/>
      <c r="E2456" s="17"/>
      <c r="F2456" s="17"/>
      <c r="G2456" s="17"/>
      <c r="H2456" s="17"/>
      <c r="I2456" s="17"/>
      <c r="J2456" s="17"/>
      <c r="K2456" s="17"/>
      <c r="L2456" s="17"/>
      <c r="M2456" s="17"/>
      <c r="N2456" s="17"/>
      <c r="O2456" s="17"/>
      <c r="P2456" s="17"/>
      <c r="Q2456" s="17"/>
      <c r="R2456" s="18"/>
    </row>
    <row r="2457" spans="1:19" x14ac:dyDescent="0.35">
      <c r="A2457" s="82"/>
      <c r="B2457" s="19"/>
      <c r="C2457" s="19"/>
      <c r="D2457" s="19"/>
      <c r="E2457" s="19"/>
      <c r="F2457" s="19"/>
      <c r="G2457" s="19"/>
      <c r="H2457" s="19"/>
      <c r="I2457" s="19"/>
      <c r="J2457" s="19"/>
      <c r="K2457" s="19"/>
      <c r="L2457" s="19"/>
      <c r="M2457" s="19"/>
      <c r="N2457" s="19"/>
      <c r="O2457" s="19"/>
      <c r="P2457" s="19"/>
      <c r="Q2457" s="19"/>
      <c r="R2457" s="20"/>
    </row>
    <row r="2458" spans="1:19" x14ac:dyDescent="0.35">
      <c r="A2458" s="82"/>
      <c r="B2458" s="19"/>
      <c r="C2458" s="19"/>
      <c r="D2458" s="19"/>
      <c r="E2458" s="19"/>
      <c r="F2458" s="19"/>
      <c r="G2458" s="19"/>
      <c r="H2458" s="19"/>
      <c r="I2458" s="19"/>
      <c r="J2458" s="19"/>
      <c r="K2458" s="19"/>
      <c r="L2458" s="19"/>
      <c r="M2458" s="19"/>
      <c r="N2458" s="19"/>
      <c r="O2458" s="19"/>
      <c r="P2458" s="19"/>
      <c r="Q2458" s="19"/>
      <c r="R2458" s="20"/>
    </row>
    <row r="2459" spans="1:19" x14ac:dyDescent="0.35">
      <c r="A2459" s="81"/>
      <c r="B2459" s="17"/>
      <c r="C2459" s="17"/>
      <c r="D2459" s="17"/>
      <c r="E2459" s="17"/>
      <c r="F2459" s="17"/>
      <c r="G2459" s="17"/>
      <c r="H2459" s="17"/>
      <c r="I2459" s="17"/>
      <c r="J2459" s="17"/>
      <c r="K2459" s="17"/>
      <c r="L2459" s="17"/>
      <c r="M2459" s="17"/>
      <c r="N2459" s="17"/>
      <c r="O2459" s="17"/>
      <c r="P2459" s="17"/>
      <c r="Q2459" s="17"/>
      <c r="R2459" s="18"/>
      <c r="S2459" s="30"/>
    </row>
    <row r="2460" spans="1:19" x14ac:dyDescent="0.35">
      <c r="A2460" s="82"/>
      <c r="B2460" s="19"/>
      <c r="C2460" s="19"/>
      <c r="D2460" s="19"/>
      <c r="E2460" s="19"/>
      <c r="F2460" s="19"/>
      <c r="G2460" s="19"/>
      <c r="H2460" s="19"/>
      <c r="I2460" s="19"/>
      <c r="J2460" s="19"/>
      <c r="K2460" s="19"/>
      <c r="L2460" s="19"/>
      <c r="M2460" s="19"/>
      <c r="N2460" s="19"/>
      <c r="O2460" s="19"/>
      <c r="P2460" s="19"/>
      <c r="Q2460" s="19"/>
      <c r="R2460" s="20"/>
    </row>
    <row r="2461" spans="1:19" x14ac:dyDescent="0.35">
      <c r="A2461" s="81"/>
      <c r="B2461" s="17"/>
      <c r="C2461" s="17"/>
      <c r="D2461" s="17"/>
      <c r="E2461" s="17"/>
      <c r="F2461" s="17"/>
      <c r="G2461" s="17"/>
      <c r="H2461" s="17"/>
      <c r="I2461" s="17"/>
      <c r="J2461" s="17"/>
      <c r="K2461" s="17"/>
      <c r="L2461" s="17"/>
      <c r="M2461" s="17"/>
      <c r="N2461" s="17"/>
      <c r="O2461" s="17"/>
      <c r="P2461" s="17"/>
      <c r="Q2461" s="17"/>
      <c r="R2461" s="18"/>
      <c r="S2461" s="30"/>
    </row>
    <row r="2462" spans="1:19" x14ac:dyDescent="0.35">
      <c r="A2462" s="82"/>
      <c r="B2462" s="19"/>
      <c r="C2462" s="19"/>
      <c r="D2462" s="19"/>
      <c r="E2462" s="19"/>
      <c r="F2462" s="19"/>
      <c r="G2462" s="19"/>
      <c r="H2462" s="19"/>
      <c r="I2462" s="19"/>
      <c r="J2462" s="19"/>
      <c r="K2462" s="19"/>
      <c r="L2462" s="19"/>
      <c r="M2462" s="19"/>
      <c r="N2462" s="19"/>
      <c r="O2462" s="19"/>
      <c r="P2462" s="19"/>
      <c r="Q2462" s="19"/>
      <c r="R2462" s="20"/>
    </row>
    <row r="2463" spans="1:19" x14ac:dyDescent="0.35">
      <c r="A2463" s="81"/>
      <c r="B2463" s="17"/>
      <c r="C2463" s="17"/>
      <c r="D2463" s="17"/>
      <c r="E2463" s="17"/>
      <c r="F2463" s="17"/>
      <c r="G2463" s="17"/>
      <c r="H2463" s="17"/>
      <c r="I2463" s="17"/>
      <c r="J2463" s="17"/>
      <c r="K2463" s="17"/>
      <c r="L2463" s="17"/>
      <c r="M2463" s="17"/>
      <c r="N2463" s="17"/>
      <c r="O2463" s="17"/>
      <c r="P2463" s="17"/>
      <c r="Q2463" s="17"/>
      <c r="R2463" s="18"/>
      <c r="S2463" s="30"/>
    </row>
    <row r="2464" spans="1:19" x14ac:dyDescent="0.35">
      <c r="A2464" s="81"/>
      <c r="B2464" s="17"/>
      <c r="C2464" s="17"/>
      <c r="D2464" s="17"/>
      <c r="E2464" s="17"/>
      <c r="F2464" s="17"/>
      <c r="G2464" s="17"/>
      <c r="H2464" s="17"/>
      <c r="I2464" s="17"/>
      <c r="J2464" s="17"/>
      <c r="K2464" s="17"/>
      <c r="L2464" s="17"/>
      <c r="M2464" s="17"/>
      <c r="N2464" s="17"/>
      <c r="O2464" s="17"/>
      <c r="P2464" s="17"/>
      <c r="Q2464" s="17"/>
      <c r="R2464" s="18"/>
      <c r="S2464" s="30"/>
    </row>
    <row r="2465" spans="1:19" x14ac:dyDescent="0.35">
      <c r="A2465" s="82"/>
      <c r="B2465" s="19"/>
      <c r="C2465" s="19"/>
      <c r="D2465" s="19"/>
      <c r="E2465" s="19"/>
      <c r="F2465" s="19"/>
      <c r="G2465" s="19"/>
      <c r="H2465" s="19"/>
      <c r="I2465" s="19"/>
      <c r="J2465" s="19"/>
      <c r="K2465" s="19"/>
      <c r="L2465" s="19"/>
      <c r="M2465" s="19"/>
      <c r="N2465" s="19"/>
      <c r="O2465" s="19"/>
      <c r="P2465" s="19"/>
      <c r="Q2465" s="19"/>
      <c r="R2465" s="20"/>
    </row>
    <row r="2466" spans="1:19" x14ac:dyDescent="0.35">
      <c r="A2466" s="82"/>
      <c r="B2466" s="19"/>
      <c r="C2466" s="19"/>
      <c r="D2466" s="19"/>
      <c r="E2466" s="19"/>
      <c r="F2466" s="19"/>
      <c r="G2466" s="19"/>
      <c r="H2466" s="19"/>
      <c r="I2466" s="19"/>
      <c r="J2466" s="19"/>
      <c r="K2466" s="19"/>
      <c r="L2466" s="19"/>
      <c r="M2466" s="19"/>
      <c r="N2466" s="19"/>
      <c r="O2466" s="19"/>
      <c r="P2466" s="19"/>
      <c r="Q2466" s="19"/>
      <c r="R2466" s="20"/>
    </row>
    <row r="2467" spans="1:19" x14ac:dyDescent="0.35">
      <c r="A2467" s="82"/>
      <c r="B2467" s="19"/>
      <c r="C2467" s="19"/>
      <c r="D2467" s="19"/>
      <c r="E2467" s="19"/>
      <c r="F2467" s="19"/>
      <c r="G2467" s="19"/>
      <c r="H2467" s="19"/>
      <c r="I2467" s="19"/>
      <c r="J2467" s="19"/>
      <c r="K2467" s="19"/>
      <c r="L2467" s="19"/>
      <c r="M2467" s="19"/>
      <c r="N2467" s="19"/>
      <c r="O2467" s="19"/>
      <c r="P2467" s="19"/>
      <c r="Q2467" s="19"/>
      <c r="R2467" s="20"/>
    </row>
    <row r="2468" spans="1:19" x14ac:dyDescent="0.35">
      <c r="A2468" s="82"/>
      <c r="B2468" s="19"/>
      <c r="C2468" s="19"/>
      <c r="D2468" s="19"/>
      <c r="E2468" s="19"/>
      <c r="F2468" s="19"/>
      <c r="G2468" s="19"/>
      <c r="H2468" s="19"/>
      <c r="I2468" s="19"/>
      <c r="J2468" s="19"/>
      <c r="K2468" s="19"/>
      <c r="L2468" s="19"/>
      <c r="M2468" s="19"/>
      <c r="N2468" s="19"/>
      <c r="O2468" s="19"/>
      <c r="P2468" s="19"/>
      <c r="Q2468" s="19"/>
      <c r="R2468" s="20"/>
    </row>
    <row r="2469" spans="1:19" x14ac:dyDescent="0.35">
      <c r="A2469" s="82"/>
      <c r="B2469" s="19"/>
      <c r="C2469" s="19"/>
      <c r="D2469" s="19"/>
      <c r="E2469" s="19"/>
      <c r="F2469" s="19"/>
      <c r="G2469" s="19"/>
      <c r="H2469" s="19"/>
      <c r="I2469" s="19"/>
      <c r="J2469" s="19"/>
      <c r="K2469" s="19"/>
      <c r="L2469" s="19"/>
      <c r="M2469" s="19"/>
      <c r="N2469" s="19"/>
      <c r="O2469" s="19"/>
      <c r="P2469" s="19"/>
      <c r="Q2469" s="19"/>
      <c r="R2469" s="20"/>
      <c r="S2469" s="30"/>
    </row>
    <row r="2470" spans="1:19" x14ac:dyDescent="0.35">
      <c r="A2470" s="81"/>
      <c r="B2470" s="17"/>
      <c r="C2470" s="17"/>
      <c r="D2470" s="17"/>
      <c r="E2470" s="17"/>
      <c r="F2470" s="17"/>
      <c r="G2470" s="17"/>
      <c r="H2470" s="17"/>
      <c r="I2470" s="17"/>
      <c r="J2470" s="17"/>
      <c r="K2470" s="17"/>
      <c r="L2470" s="17"/>
      <c r="M2470" s="17"/>
      <c r="N2470" s="17"/>
      <c r="O2470" s="17"/>
      <c r="P2470" s="17"/>
      <c r="Q2470" s="17"/>
      <c r="R2470" s="18"/>
    </row>
    <row r="2471" spans="1:19" x14ac:dyDescent="0.35">
      <c r="A2471" s="82"/>
      <c r="B2471" s="19"/>
      <c r="C2471" s="19"/>
      <c r="D2471" s="19"/>
      <c r="E2471" s="19"/>
      <c r="F2471" s="19"/>
      <c r="G2471" s="19"/>
      <c r="H2471" s="19"/>
      <c r="I2471" s="19"/>
      <c r="J2471" s="19"/>
      <c r="K2471" s="19"/>
      <c r="L2471" s="19"/>
      <c r="M2471" s="19"/>
      <c r="N2471" s="19"/>
      <c r="O2471" s="19"/>
      <c r="P2471" s="19"/>
      <c r="Q2471" s="19"/>
      <c r="R2471" s="20"/>
    </row>
    <row r="2472" spans="1:19" x14ac:dyDescent="0.35">
      <c r="A2472" s="81"/>
      <c r="B2472" s="17"/>
      <c r="C2472" s="17"/>
      <c r="D2472" s="17"/>
      <c r="E2472" s="17"/>
      <c r="F2472" s="17"/>
      <c r="G2472" s="17"/>
      <c r="H2472" s="17"/>
      <c r="I2472" s="17"/>
      <c r="J2472" s="17"/>
      <c r="K2472" s="17"/>
      <c r="L2472" s="17"/>
      <c r="M2472" s="17"/>
      <c r="N2472" s="17"/>
      <c r="O2472" s="17"/>
      <c r="P2472" s="17"/>
      <c r="Q2472" s="17"/>
      <c r="R2472" s="18"/>
      <c r="S2472" s="30"/>
    </row>
    <row r="2473" spans="1:19" x14ac:dyDescent="0.35">
      <c r="A2473" s="82"/>
      <c r="B2473" s="19"/>
      <c r="C2473" s="19"/>
      <c r="D2473" s="19"/>
      <c r="E2473" s="19"/>
      <c r="F2473" s="19"/>
      <c r="G2473" s="19"/>
      <c r="H2473" s="19"/>
      <c r="I2473" s="19"/>
      <c r="J2473" s="19"/>
      <c r="K2473" s="19"/>
      <c r="L2473" s="19"/>
      <c r="M2473" s="19"/>
      <c r="N2473" s="19"/>
      <c r="O2473" s="19"/>
      <c r="P2473" s="19"/>
      <c r="Q2473" s="19"/>
      <c r="R2473" s="20"/>
    </row>
    <row r="2474" spans="1:19" x14ac:dyDescent="0.35">
      <c r="A2474" s="82"/>
      <c r="B2474" s="19"/>
      <c r="C2474" s="19"/>
      <c r="D2474" s="19"/>
      <c r="E2474" s="19"/>
      <c r="F2474" s="19"/>
      <c r="G2474" s="19"/>
      <c r="H2474" s="19"/>
      <c r="I2474" s="19"/>
      <c r="J2474" s="19"/>
      <c r="K2474" s="19"/>
      <c r="L2474" s="19"/>
      <c r="M2474" s="19"/>
      <c r="N2474" s="19"/>
      <c r="O2474" s="19"/>
      <c r="P2474" s="19"/>
      <c r="Q2474" s="19"/>
      <c r="R2474" s="20"/>
    </row>
    <row r="2475" spans="1:19" x14ac:dyDescent="0.35">
      <c r="A2475" s="81"/>
      <c r="B2475" s="17"/>
      <c r="C2475" s="17"/>
      <c r="D2475" s="17"/>
      <c r="E2475" s="17"/>
      <c r="F2475" s="17"/>
      <c r="G2475" s="17"/>
      <c r="H2475" s="17"/>
      <c r="I2475" s="17"/>
      <c r="J2475" s="17"/>
      <c r="K2475" s="17"/>
      <c r="L2475" s="19"/>
      <c r="M2475" s="19"/>
      <c r="N2475" s="19"/>
      <c r="O2475" s="17"/>
      <c r="P2475" s="17"/>
      <c r="Q2475" s="17"/>
      <c r="R2475" s="18"/>
      <c r="S2475" s="30"/>
    </row>
    <row r="2476" spans="1:19" x14ac:dyDescent="0.35">
      <c r="A2476" s="82"/>
      <c r="B2476" s="19"/>
      <c r="C2476" s="19"/>
      <c r="D2476" s="19"/>
      <c r="E2476" s="19"/>
      <c r="F2476" s="19"/>
      <c r="G2476" s="19"/>
      <c r="H2476" s="19"/>
      <c r="I2476" s="19"/>
      <c r="J2476" s="19"/>
      <c r="K2476" s="19"/>
      <c r="L2476" s="19"/>
      <c r="M2476" s="19"/>
      <c r="N2476" s="19"/>
      <c r="O2476" s="19"/>
      <c r="P2476" s="19"/>
      <c r="Q2476" s="19"/>
      <c r="R2476" s="20"/>
    </row>
    <row r="2477" spans="1:19" x14ac:dyDescent="0.35">
      <c r="A2477" s="82"/>
      <c r="B2477" s="19"/>
      <c r="C2477" s="19"/>
      <c r="D2477" s="19"/>
      <c r="E2477" s="19"/>
      <c r="F2477" s="19"/>
      <c r="G2477" s="19"/>
      <c r="H2477" s="19"/>
      <c r="I2477" s="19"/>
      <c r="J2477" s="19"/>
      <c r="K2477" s="19"/>
      <c r="L2477" s="19"/>
      <c r="M2477" s="19"/>
      <c r="N2477" s="19"/>
      <c r="O2477" s="19"/>
      <c r="P2477" s="19"/>
      <c r="Q2477" s="19"/>
      <c r="R2477" s="20"/>
    </row>
    <row r="2478" spans="1:19" x14ac:dyDescent="0.35">
      <c r="A2478" s="81"/>
      <c r="B2478" s="17"/>
      <c r="C2478" s="17"/>
      <c r="D2478" s="17"/>
      <c r="E2478" s="17"/>
      <c r="F2478" s="17"/>
      <c r="G2478" s="17"/>
      <c r="H2478" s="17"/>
      <c r="I2478" s="17"/>
      <c r="J2478" s="17"/>
      <c r="K2478" s="17"/>
      <c r="L2478" s="17"/>
      <c r="M2478" s="17"/>
      <c r="N2478" s="17"/>
      <c r="O2478" s="19"/>
      <c r="P2478" s="17"/>
      <c r="Q2478" s="17"/>
      <c r="R2478" s="18"/>
    </row>
    <row r="2479" spans="1:19" x14ac:dyDescent="0.35">
      <c r="A2479" s="82"/>
      <c r="B2479" s="19"/>
      <c r="C2479" s="19"/>
      <c r="D2479" s="19"/>
      <c r="E2479" s="19"/>
      <c r="F2479" s="19"/>
      <c r="G2479" s="19"/>
      <c r="H2479" s="19"/>
      <c r="I2479" s="19"/>
      <c r="J2479" s="19"/>
      <c r="K2479" s="19"/>
      <c r="L2479" s="19"/>
      <c r="M2479" s="19"/>
      <c r="N2479" s="19"/>
      <c r="O2479" s="19"/>
      <c r="P2479" s="19"/>
      <c r="Q2479" s="19"/>
      <c r="R2479" s="20"/>
    </row>
    <row r="2480" spans="1:19" x14ac:dyDescent="0.35">
      <c r="A2480" s="82"/>
      <c r="B2480" s="19"/>
      <c r="C2480" s="19"/>
      <c r="D2480" s="19"/>
      <c r="E2480" s="19"/>
      <c r="F2480" s="19"/>
      <c r="G2480" s="19"/>
      <c r="H2480" s="19"/>
      <c r="I2480" s="19"/>
      <c r="J2480" s="19"/>
      <c r="K2480" s="19"/>
      <c r="L2480" s="19"/>
      <c r="M2480" s="19"/>
      <c r="N2480" s="19"/>
      <c r="O2480" s="19"/>
      <c r="P2480" s="19"/>
      <c r="Q2480" s="19"/>
      <c r="R2480" s="20"/>
    </row>
    <row r="2481" spans="1:19" x14ac:dyDescent="0.35">
      <c r="A2481" s="82"/>
      <c r="B2481" s="19"/>
      <c r="C2481" s="19"/>
      <c r="D2481" s="19"/>
      <c r="E2481" s="19"/>
      <c r="F2481" s="19"/>
      <c r="G2481" s="19"/>
      <c r="H2481" s="19"/>
      <c r="I2481" s="19"/>
      <c r="J2481" s="19"/>
      <c r="K2481" s="19"/>
      <c r="L2481" s="19"/>
      <c r="M2481" s="19"/>
      <c r="N2481" s="19"/>
      <c r="O2481" s="19"/>
      <c r="P2481" s="19"/>
      <c r="Q2481" s="19"/>
      <c r="R2481" s="20"/>
    </row>
    <row r="2482" spans="1:19" x14ac:dyDescent="0.35">
      <c r="A2482" s="82"/>
      <c r="B2482" s="19"/>
      <c r="C2482" s="19"/>
      <c r="D2482" s="19"/>
      <c r="E2482" s="19"/>
      <c r="F2482" s="19"/>
      <c r="G2482" s="19"/>
      <c r="H2482" s="19"/>
      <c r="I2482" s="19"/>
      <c r="J2482" s="19"/>
      <c r="K2482" s="19"/>
      <c r="L2482" s="19"/>
      <c r="M2482" s="19"/>
      <c r="N2482" s="19"/>
      <c r="O2482" s="19"/>
      <c r="P2482" s="19"/>
      <c r="Q2482" s="19"/>
      <c r="R2482" s="20"/>
    </row>
    <row r="2483" spans="1:19" x14ac:dyDescent="0.35">
      <c r="A2483" s="82"/>
      <c r="B2483" s="19"/>
      <c r="C2483" s="19"/>
      <c r="D2483" s="19"/>
      <c r="E2483" s="19"/>
      <c r="F2483" s="19"/>
      <c r="G2483" s="19"/>
      <c r="H2483" s="19"/>
      <c r="I2483" s="19"/>
      <c r="J2483" s="19"/>
      <c r="K2483" s="19"/>
      <c r="L2483" s="19"/>
      <c r="M2483" s="19"/>
      <c r="N2483" s="19"/>
      <c r="O2483" s="19"/>
      <c r="P2483" s="19"/>
      <c r="Q2483" s="19"/>
      <c r="R2483" s="20"/>
    </row>
    <row r="2484" spans="1:19" x14ac:dyDescent="0.35">
      <c r="A2484" s="82"/>
      <c r="B2484" s="19"/>
      <c r="C2484" s="19"/>
      <c r="D2484" s="19"/>
      <c r="E2484" s="19"/>
      <c r="F2484" s="19"/>
      <c r="G2484" s="19"/>
      <c r="H2484" s="19"/>
      <c r="I2484" s="19"/>
      <c r="J2484" s="19"/>
      <c r="K2484" s="19"/>
      <c r="L2484" s="19"/>
      <c r="M2484" s="19"/>
      <c r="N2484" s="19"/>
      <c r="O2484" s="19"/>
      <c r="P2484" s="19"/>
      <c r="Q2484" s="19"/>
      <c r="R2484" s="20"/>
    </row>
    <row r="2485" spans="1:19" x14ac:dyDescent="0.35">
      <c r="A2485" s="81"/>
      <c r="B2485" s="17"/>
      <c r="C2485" s="17"/>
      <c r="D2485" s="17"/>
      <c r="E2485" s="17"/>
      <c r="F2485" s="17"/>
      <c r="G2485" s="17"/>
      <c r="H2485" s="17"/>
      <c r="I2485" s="17"/>
      <c r="J2485" s="17"/>
      <c r="K2485" s="17"/>
      <c r="L2485" s="17"/>
      <c r="M2485" s="17"/>
      <c r="N2485" s="17"/>
      <c r="O2485" s="17"/>
      <c r="P2485" s="17"/>
      <c r="Q2485" s="17"/>
      <c r="R2485" s="18"/>
    </row>
    <row r="2486" spans="1:19" x14ac:dyDescent="0.35">
      <c r="A2486" s="82"/>
      <c r="B2486" s="19"/>
      <c r="C2486" s="19"/>
      <c r="D2486" s="19"/>
      <c r="E2486" s="19"/>
      <c r="F2486" s="19"/>
      <c r="G2486" s="19"/>
      <c r="H2486" s="19"/>
      <c r="I2486" s="19"/>
      <c r="J2486" s="19"/>
      <c r="K2486" s="19"/>
      <c r="L2486" s="19"/>
      <c r="M2486" s="19"/>
      <c r="N2486" s="19"/>
      <c r="O2486" s="19"/>
      <c r="P2486" s="19"/>
      <c r="Q2486" s="19"/>
      <c r="R2486" s="20"/>
    </row>
    <row r="2487" spans="1:19" x14ac:dyDescent="0.35">
      <c r="A2487" s="82"/>
      <c r="B2487" s="19"/>
      <c r="C2487" s="19"/>
      <c r="D2487" s="19"/>
      <c r="E2487" s="19"/>
      <c r="F2487" s="19"/>
      <c r="G2487" s="19"/>
      <c r="H2487" s="19"/>
      <c r="I2487" s="19"/>
      <c r="J2487" s="19"/>
      <c r="K2487" s="19"/>
      <c r="L2487" s="19"/>
      <c r="M2487" s="19"/>
      <c r="N2487" s="19"/>
      <c r="O2487" s="19"/>
      <c r="P2487" s="19"/>
      <c r="Q2487" s="19"/>
      <c r="R2487" s="20"/>
      <c r="S2487" s="20"/>
    </row>
    <row r="2488" spans="1:19" x14ac:dyDescent="0.35">
      <c r="A2488" s="82"/>
      <c r="B2488" s="19"/>
      <c r="C2488" s="19"/>
      <c r="D2488" s="19"/>
      <c r="E2488" s="19"/>
      <c r="F2488" s="19"/>
      <c r="G2488" s="19"/>
      <c r="H2488" s="19"/>
      <c r="I2488" s="19"/>
      <c r="J2488" s="19"/>
      <c r="K2488" s="19"/>
      <c r="L2488" s="19"/>
      <c r="M2488" s="19"/>
      <c r="N2488" s="19"/>
      <c r="O2488" s="19"/>
      <c r="P2488" s="19"/>
      <c r="Q2488" s="19"/>
      <c r="R2488" s="20"/>
      <c r="S2488" s="20"/>
    </row>
    <row r="2489" spans="1:19" x14ac:dyDescent="0.35">
      <c r="A2489" s="81"/>
      <c r="B2489" s="17"/>
      <c r="C2489" s="17"/>
      <c r="D2489" s="17"/>
      <c r="E2489" s="17"/>
      <c r="F2489" s="17"/>
      <c r="G2489" s="17"/>
      <c r="H2489" s="17"/>
      <c r="I2489" s="17"/>
      <c r="J2489" s="17"/>
      <c r="K2489" s="17"/>
      <c r="L2489" s="17"/>
      <c r="M2489" s="17"/>
      <c r="N2489" s="17"/>
      <c r="O2489" s="17"/>
      <c r="P2489" s="17"/>
      <c r="Q2489" s="17"/>
      <c r="R2489" s="18"/>
      <c r="S2489" s="20"/>
    </row>
    <row r="2490" spans="1:19" x14ac:dyDescent="0.35">
      <c r="A2490" s="82"/>
      <c r="B2490" s="19"/>
      <c r="C2490" s="19"/>
      <c r="D2490" s="19"/>
      <c r="E2490" s="19"/>
      <c r="F2490" s="19"/>
      <c r="G2490" s="19"/>
      <c r="H2490" s="19"/>
      <c r="I2490" s="19"/>
      <c r="J2490" s="19"/>
      <c r="K2490" s="19"/>
      <c r="L2490" s="19"/>
      <c r="M2490" s="19"/>
      <c r="N2490" s="19"/>
      <c r="O2490" s="19"/>
      <c r="P2490" s="19"/>
      <c r="Q2490" s="19"/>
      <c r="R2490" s="20"/>
      <c r="S2490" s="20"/>
    </row>
    <row r="2491" spans="1:19" x14ac:dyDescent="0.35">
      <c r="A2491" s="81"/>
      <c r="B2491" s="17"/>
      <c r="C2491" s="17"/>
      <c r="D2491" s="17"/>
      <c r="E2491" s="17"/>
      <c r="F2491" s="17"/>
      <c r="G2491" s="17"/>
      <c r="H2491" s="17"/>
      <c r="I2491" s="17"/>
      <c r="J2491" s="17"/>
      <c r="K2491" s="17"/>
      <c r="L2491" s="17"/>
      <c r="M2491" s="17"/>
      <c r="N2491" s="17"/>
      <c r="O2491" s="17"/>
      <c r="P2491" s="17"/>
      <c r="Q2491" s="17"/>
      <c r="R2491" s="18"/>
      <c r="S2491" s="18"/>
    </row>
    <row r="2492" spans="1:19" x14ac:dyDescent="0.35">
      <c r="A2492" s="82"/>
      <c r="B2492" s="19"/>
      <c r="C2492" s="19"/>
      <c r="D2492" s="19"/>
      <c r="E2492" s="19"/>
      <c r="F2492" s="19"/>
      <c r="G2492" s="19"/>
      <c r="H2492" s="19"/>
      <c r="I2492" s="19"/>
      <c r="J2492" s="19"/>
      <c r="K2492" s="19"/>
      <c r="L2492" s="19"/>
      <c r="M2492" s="19"/>
      <c r="N2492" s="19"/>
      <c r="O2492" s="19"/>
      <c r="P2492" s="19"/>
      <c r="Q2492" s="19"/>
      <c r="R2492" s="20"/>
      <c r="S2492" s="20"/>
    </row>
    <row r="2493" spans="1:19" x14ac:dyDescent="0.35">
      <c r="A2493" s="82"/>
      <c r="B2493" s="19"/>
      <c r="C2493" s="19"/>
      <c r="D2493" s="19"/>
      <c r="E2493" s="19"/>
      <c r="F2493" s="19"/>
      <c r="G2493" s="19"/>
      <c r="H2493" s="19"/>
      <c r="I2493" s="19"/>
      <c r="J2493" s="19"/>
      <c r="K2493" s="19"/>
      <c r="L2493" s="19"/>
      <c r="M2493" s="19"/>
      <c r="N2493" s="19"/>
      <c r="O2493" s="19"/>
      <c r="P2493" s="19"/>
      <c r="Q2493" s="19"/>
      <c r="R2493" s="20"/>
      <c r="S2493" s="20"/>
    </row>
    <row r="2494" spans="1:19" x14ac:dyDescent="0.35">
      <c r="A2494" s="82"/>
      <c r="B2494" s="19"/>
      <c r="C2494" s="19"/>
      <c r="D2494" s="19"/>
      <c r="E2494" s="19"/>
      <c r="F2494" s="19"/>
      <c r="G2494" s="19"/>
      <c r="H2494" s="19"/>
      <c r="I2494" s="19"/>
      <c r="J2494" s="19"/>
      <c r="K2494" s="19"/>
      <c r="L2494" s="19"/>
      <c r="M2494" s="19"/>
      <c r="N2494" s="19"/>
      <c r="O2494" s="19"/>
      <c r="P2494" s="19"/>
      <c r="Q2494" s="19"/>
      <c r="R2494" s="20"/>
      <c r="S2494" s="20"/>
    </row>
    <row r="2495" spans="1:19" x14ac:dyDescent="0.35">
      <c r="A2495" s="82"/>
      <c r="B2495" s="19"/>
      <c r="C2495" s="19"/>
      <c r="D2495" s="19"/>
      <c r="E2495" s="19"/>
      <c r="F2495" s="19"/>
      <c r="G2495" s="19"/>
      <c r="H2495" s="19"/>
      <c r="I2495" s="19"/>
      <c r="J2495" s="19"/>
      <c r="K2495" s="19"/>
      <c r="L2495" s="19"/>
      <c r="M2495" s="19"/>
      <c r="N2495" s="19"/>
      <c r="O2495" s="19"/>
      <c r="P2495" s="19"/>
      <c r="Q2495" s="19"/>
      <c r="R2495" s="20"/>
      <c r="S2495" s="20"/>
    </row>
    <row r="2496" spans="1:19" x14ac:dyDescent="0.35">
      <c r="A2496" s="82"/>
      <c r="B2496" s="19"/>
      <c r="C2496" s="19"/>
      <c r="D2496" s="19"/>
      <c r="E2496" s="19"/>
      <c r="F2496" s="19"/>
      <c r="G2496" s="19"/>
      <c r="H2496" s="19"/>
      <c r="I2496" s="19"/>
      <c r="J2496" s="19"/>
      <c r="K2496" s="19"/>
      <c r="L2496" s="19"/>
      <c r="M2496" s="19"/>
      <c r="N2496" s="19"/>
      <c r="O2496" s="19"/>
      <c r="P2496" s="19"/>
      <c r="Q2496" s="19"/>
      <c r="R2496" s="20"/>
      <c r="S2496" s="20"/>
    </row>
    <row r="2497" spans="1:19" x14ac:dyDescent="0.35">
      <c r="A2497" s="81"/>
      <c r="B2497" s="17"/>
      <c r="C2497" s="17"/>
      <c r="D2497" s="17"/>
      <c r="E2497" s="17"/>
      <c r="F2497" s="17"/>
      <c r="G2497" s="17"/>
      <c r="H2497" s="17"/>
      <c r="I2497" s="17"/>
      <c r="J2497" s="17"/>
      <c r="K2497" s="17"/>
      <c r="L2497" s="17"/>
      <c r="M2497" s="17"/>
      <c r="N2497" s="17"/>
      <c r="O2497" s="17"/>
      <c r="P2497" s="17"/>
      <c r="Q2497" s="17"/>
      <c r="R2497" s="18"/>
      <c r="S2497" s="20"/>
    </row>
    <row r="2498" spans="1:19" x14ac:dyDescent="0.35">
      <c r="A2498" s="81"/>
      <c r="B2498" s="17"/>
      <c r="C2498" s="17"/>
      <c r="D2498" s="17"/>
      <c r="E2498" s="17"/>
      <c r="F2498" s="17"/>
      <c r="G2498" s="17"/>
      <c r="H2498" s="17"/>
      <c r="I2498" s="17"/>
      <c r="J2498" s="17"/>
      <c r="K2498" s="17"/>
      <c r="L2498" s="17"/>
      <c r="M2498" s="17"/>
      <c r="N2498" s="17"/>
      <c r="O2498" s="17"/>
      <c r="P2498" s="17"/>
      <c r="Q2498" s="17"/>
      <c r="R2498" s="18"/>
      <c r="S2498" s="20"/>
    </row>
    <row r="2499" spans="1:19" x14ac:dyDescent="0.35">
      <c r="A2499" s="82"/>
      <c r="B2499" s="19"/>
      <c r="C2499" s="19"/>
      <c r="D2499" s="19"/>
      <c r="E2499" s="19"/>
      <c r="F2499" s="19"/>
      <c r="G2499" s="19"/>
      <c r="H2499" s="19"/>
      <c r="I2499" s="19"/>
      <c r="J2499" s="19"/>
      <c r="K2499" s="19"/>
      <c r="L2499" s="19"/>
      <c r="M2499" s="19"/>
      <c r="N2499" s="19"/>
      <c r="O2499" s="19"/>
      <c r="P2499" s="19"/>
      <c r="Q2499" s="19"/>
      <c r="R2499" s="20"/>
      <c r="S2499" s="20"/>
    </row>
    <row r="2500" spans="1:19" x14ac:dyDescent="0.35">
      <c r="A2500" s="82"/>
      <c r="B2500" s="19"/>
      <c r="C2500" s="19"/>
      <c r="D2500" s="19"/>
      <c r="E2500" s="19"/>
      <c r="F2500" s="19"/>
      <c r="G2500" s="19"/>
      <c r="H2500" s="19"/>
      <c r="I2500" s="19"/>
      <c r="J2500" s="19"/>
      <c r="K2500" s="19"/>
      <c r="L2500" s="19"/>
      <c r="M2500" s="19"/>
      <c r="N2500" s="19"/>
      <c r="O2500" s="19"/>
      <c r="P2500" s="19"/>
      <c r="Q2500" s="19"/>
      <c r="R2500" s="20"/>
      <c r="S2500" s="20"/>
    </row>
    <row r="2501" spans="1:19" x14ac:dyDescent="0.35">
      <c r="A2501" s="81"/>
      <c r="B2501" s="17"/>
      <c r="C2501" s="17"/>
      <c r="D2501" s="17"/>
      <c r="E2501" s="17"/>
      <c r="F2501" s="17"/>
      <c r="G2501" s="17"/>
      <c r="H2501" s="17"/>
      <c r="I2501" s="17"/>
      <c r="J2501" s="17"/>
      <c r="K2501" s="17"/>
      <c r="L2501" s="17"/>
      <c r="M2501" s="17"/>
      <c r="N2501" s="17"/>
      <c r="O2501" s="17"/>
      <c r="P2501" s="17"/>
      <c r="Q2501" s="17"/>
      <c r="R2501" s="18"/>
      <c r="S2501" s="20"/>
    </row>
    <row r="2502" spans="1:19" x14ac:dyDescent="0.35">
      <c r="A2502" s="82"/>
      <c r="B2502" s="19"/>
      <c r="C2502" s="19"/>
      <c r="D2502" s="19"/>
      <c r="E2502" s="19"/>
      <c r="F2502" s="19"/>
      <c r="G2502" s="19"/>
      <c r="H2502" s="19"/>
      <c r="I2502" s="19"/>
      <c r="J2502" s="19"/>
      <c r="K2502" s="19"/>
      <c r="L2502" s="19"/>
      <c r="M2502" s="19"/>
      <c r="N2502" s="19"/>
      <c r="O2502" s="19"/>
      <c r="P2502" s="19"/>
      <c r="Q2502" s="19"/>
      <c r="R2502" s="20"/>
      <c r="S2502" s="20"/>
    </row>
    <row r="2503" spans="1:19" x14ac:dyDescent="0.35">
      <c r="A2503" s="81"/>
      <c r="B2503" s="17"/>
      <c r="C2503" s="17"/>
      <c r="D2503" s="17"/>
      <c r="E2503" s="17"/>
      <c r="F2503" s="17"/>
      <c r="G2503" s="17"/>
      <c r="H2503" s="17"/>
      <c r="I2503" s="17"/>
      <c r="J2503" s="17"/>
      <c r="K2503" s="17"/>
      <c r="L2503" s="17"/>
      <c r="M2503" s="17"/>
      <c r="N2503" s="17"/>
      <c r="O2503" s="17"/>
      <c r="P2503" s="17"/>
      <c r="Q2503" s="17"/>
      <c r="R2503" s="18"/>
      <c r="S2503" s="18"/>
    </row>
    <row r="2504" spans="1:19" x14ac:dyDescent="0.35">
      <c r="A2504" s="81"/>
      <c r="B2504" s="17"/>
      <c r="C2504" s="17"/>
      <c r="D2504" s="17"/>
      <c r="E2504" s="17"/>
      <c r="F2504" s="17"/>
      <c r="G2504" s="17"/>
      <c r="H2504" s="17"/>
      <c r="I2504" s="17"/>
      <c r="J2504" s="17"/>
      <c r="K2504" s="17"/>
      <c r="L2504" s="17"/>
      <c r="M2504" s="17"/>
      <c r="N2504" s="17"/>
      <c r="O2504" s="17"/>
      <c r="P2504" s="17"/>
      <c r="Q2504" s="17"/>
      <c r="R2504" s="18"/>
      <c r="S2504" s="20"/>
    </row>
    <row r="2505" spans="1:19" x14ac:dyDescent="0.35">
      <c r="A2505" s="82"/>
      <c r="B2505" s="19"/>
      <c r="C2505" s="19"/>
      <c r="D2505" s="19"/>
      <c r="E2505" s="19"/>
      <c r="F2505" s="19"/>
      <c r="G2505" s="19"/>
      <c r="H2505" s="19"/>
      <c r="I2505" s="19"/>
      <c r="J2505" s="19"/>
      <c r="K2505" s="19"/>
      <c r="L2505" s="19"/>
      <c r="M2505" s="19"/>
      <c r="N2505" s="19"/>
      <c r="O2505" s="19"/>
      <c r="P2505" s="19"/>
      <c r="Q2505" s="19"/>
      <c r="R2505" s="20"/>
      <c r="S2505" s="20"/>
    </row>
    <row r="2506" spans="1:19" x14ac:dyDescent="0.35">
      <c r="A2506" s="82"/>
      <c r="B2506" s="19"/>
      <c r="C2506" s="19"/>
      <c r="D2506" s="19"/>
      <c r="E2506" s="19"/>
      <c r="F2506" s="19"/>
      <c r="G2506" s="19"/>
      <c r="H2506" s="19"/>
      <c r="I2506" s="19"/>
      <c r="J2506" s="19"/>
      <c r="K2506" s="19"/>
      <c r="L2506" s="19"/>
      <c r="M2506" s="19"/>
      <c r="N2506" s="19"/>
      <c r="O2506" s="19"/>
      <c r="P2506" s="19"/>
      <c r="Q2506" s="19"/>
      <c r="R2506" s="20"/>
      <c r="S2506" s="20"/>
    </row>
    <row r="2507" spans="1:19" x14ac:dyDescent="0.35">
      <c r="A2507" s="82"/>
      <c r="B2507" s="19"/>
      <c r="C2507" s="19"/>
      <c r="D2507" s="19"/>
      <c r="E2507" s="19"/>
      <c r="F2507" s="19"/>
      <c r="G2507" s="19"/>
      <c r="H2507" s="19"/>
      <c r="I2507" s="19"/>
      <c r="J2507" s="19"/>
      <c r="K2507" s="19"/>
      <c r="L2507" s="19"/>
      <c r="M2507" s="19"/>
      <c r="N2507" s="19"/>
      <c r="O2507" s="19"/>
      <c r="P2507" s="19"/>
      <c r="Q2507" s="19"/>
      <c r="R2507" s="20"/>
      <c r="S2507" s="20"/>
    </row>
    <row r="2508" spans="1:19" x14ac:dyDescent="0.35">
      <c r="A2508" s="82"/>
      <c r="B2508" s="19"/>
      <c r="C2508" s="19"/>
      <c r="D2508" s="19"/>
      <c r="E2508" s="19"/>
      <c r="F2508" s="19"/>
      <c r="G2508" s="19"/>
      <c r="H2508" s="19"/>
      <c r="I2508" s="19"/>
      <c r="J2508" s="19"/>
      <c r="K2508" s="19"/>
      <c r="L2508" s="19"/>
      <c r="M2508" s="19"/>
      <c r="N2508" s="19"/>
      <c r="O2508" s="19"/>
      <c r="P2508" s="19"/>
      <c r="Q2508" s="19"/>
      <c r="R2508" s="20"/>
      <c r="S2508" s="20"/>
    </row>
    <row r="2509" spans="1:19" x14ac:dyDescent="0.35">
      <c r="A2509" s="82"/>
      <c r="B2509" s="19"/>
      <c r="C2509" s="19"/>
      <c r="D2509" s="19"/>
      <c r="E2509" s="19"/>
      <c r="F2509" s="19"/>
      <c r="G2509" s="19"/>
      <c r="H2509" s="19"/>
      <c r="I2509" s="19"/>
      <c r="J2509" s="19"/>
      <c r="K2509" s="19"/>
      <c r="L2509" s="19"/>
      <c r="M2509" s="19"/>
      <c r="N2509" s="19"/>
      <c r="O2509" s="19"/>
      <c r="P2509" s="19"/>
      <c r="Q2509" s="19"/>
      <c r="R2509" s="20"/>
      <c r="S2509" s="20"/>
    </row>
    <row r="2510" spans="1:19" x14ac:dyDescent="0.35">
      <c r="A2510" s="81"/>
      <c r="B2510" s="17"/>
      <c r="C2510" s="17"/>
      <c r="D2510" s="17"/>
      <c r="E2510" s="17"/>
      <c r="F2510" s="17"/>
      <c r="G2510" s="17"/>
      <c r="H2510" s="17"/>
      <c r="I2510" s="17"/>
      <c r="J2510" s="17"/>
      <c r="K2510" s="17"/>
      <c r="L2510" s="17"/>
      <c r="M2510" s="17"/>
      <c r="N2510" s="17"/>
      <c r="O2510" s="17"/>
      <c r="P2510" s="17"/>
      <c r="Q2510" s="17"/>
      <c r="R2510" s="18"/>
      <c r="S2510" s="20"/>
    </row>
    <row r="2511" spans="1:19" x14ac:dyDescent="0.35">
      <c r="A2511" s="81"/>
      <c r="B2511" s="17"/>
      <c r="C2511" s="17"/>
      <c r="D2511" s="17"/>
      <c r="E2511" s="17"/>
      <c r="F2511" s="17"/>
      <c r="G2511" s="17"/>
      <c r="H2511" s="17"/>
      <c r="I2511" s="17"/>
      <c r="J2511" s="17"/>
      <c r="K2511" s="17"/>
      <c r="L2511" s="17"/>
      <c r="M2511" s="17"/>
      <c r="N2511" s="17"/>
      <c r="O2511" s="17"/>
      <c r="P2511" s="17"/>
      <c r="Q2511" s="17"/>
      <c r="R2511" s="18"/>
      <c r="S2511" s="20"/>
    </row>
    <row r="2512" spans="1:19" x14ac:dyDescent="0.35">
      <c r="A2512" s="82"/>
      <c r="B2512" s="19"/>
      <c r="C2512" s="19"/>
      <c r="D2512" s="19"/>
      <c r="E2512" s="19"/>
      <c r="F2512" s="19"/>
      <c r="G2512" s="19"/>
      <c r="H2512" s="19"/>
      <c r="I2512" s="19"/>
      <c r="J2512" s="19"/>
      <c r="K2512" s="19"/>
      <c r="L2512" s="19"/>
      <c r="M2512" s="19"/>
      <c r="N2512" s="19"/>
      <c r="O2512" s="19"/>
      <c r="P2512" s="19"/>
      <c r="Q2512" s="19"/>
      <c r="R2512" s="20"/>
      <c r="S2512" s="20"/>
    </row>
    <row r="2513" spans="1:19" x14ac:dyDescent="0.35">
      <c r="A2513" s="82"/>
      <c r="B2513" s="19"/>
      <c r="C2513" s="19"/>
      <c r="D2513" s="19"/>
      <c r="E2513" s="19"/>
      <c r="F2513" s="19"/>
      <c r="G2513" s="19"/>
      <c r="H2513" s="19"/>
      <c r="I2513" s="19"/>
      <c r="J2513" s="19"/>
      <c r="K2513" s="19"/>
      <c r="L2513" s="19"/>
      <c r="M2513" s="19"/>
      <c r="N2513" s="19"/>
      <c r="O2513" s="19"/>
      <c r="P2513" s="19"/>
      <c r="Q2513" s="19"/>
      <c r="R2513" s="20"/>
      <c r="S2513" s="20"/>
    </row>
    <row r="2514" spans="1:19" x14ac:dyDescent="0.35">
      <c r="A2514" s="82"/>
      <c r="B2514" s="19"/>
      <c r="C2514" s="19"/>
      <c r="D2514" s="19"/>
      <c r="E2514" s="19"/>
      <c r="F2514" s="19"/>
      <c r="G2514" s="19"/>
      <c r="H2514" s="19"/>
      <c r="I2514" s="19"/>
      <c r="J2514" s="19"/>
      <c r="K2514" s="19"/>
      <c r="L2514" s="19"/>
      <c r="M2514" s="19"/>
      <c r="N2514" s="19"/>
      <c r="O2514" s="19"/>
      <c r="P2514" s="19"/>
      <c r="Q2514" s="19"/>
      <c r="R2514" s="20"/>
      <c r="S2514" s="20"/>
    </row>
    <row r="2515" spans="1:19" x14ac:dyDescent="0.35">
      <c r="A2515" s="82"/>
      <c r="B2515" s="19"/>
      <c r="C2515" s="19"/>
      <c r="D2515" s="19"/>
      <c r="E2515" s="19"/>
      <c r="F2515" s="19"/>
      <c r="G2515" s="19"/>
      <c r="H2515" s="19"/>
      <c r="I2515" s="19"/>
      <c r="J2515" s="19"/>
      <c r="K2515" s="19"/>
      <c r="L2515" s="19"/>
      <c r="M2515" s="19"/>
      <c r="N2515" s="19"/>
      <c r="O2515" s="19"/>
      <c r="P2515" s="19"/>
      <c r="Q2515" s="19"/>
      <c r="R2515" s="20"/>
      <c r="S2515" s="20"/>
    </row>
    <row r="2516" spans="1:19" x14ac:dyDescent="0.35">
      <c r="A2516" s="82"/>
      <c r="B2516" s="19"/>
      <c r="C2516" s="19"/>
      <c r="D2516" s="19"/>
      <c r="E2516" s="19"/>
      <c r="F2516" s="19"/>
      <c r="G2516" s="19"/>
      <c r="H2516" s="19"/>
      <c r="I2516" s="19"/>
      <c r="J2516" s="19"/>
      <c r="K2516" s="19"/>
      <c r="L2516" s="19"/>
      <c r="M2516" s="19"/>
      <c r="N2516" s="19"/>
      <c r="O2516" s="19"/>
      <c r="P2516" s="19"/>
      <c r="Q2516" s="19"/>
      <c r="R2516" s="20"/>
      <c r="S2516" s="20"/>
    </row>
    <row r="2517" spans="1:19" x14ac:dyDescent="0.35">
      <c r="A2517" s="81"/>
      <c r="B2517" s="17"/>
      <c r="C2517" s="17"/>
      <c r="D2517" s="17"/>
      <c r="E2517" s="17"/>
      <c r="F2517" s="17"/>
      <c r="G2517" s="17"/>
      <c r="H2517" s="17"/>
      <c r="I2517" s="17"/>
      <c r="J2517" s="17"/>
      <c r="K2517" s="17"/>
      <c r="L2517" s="17"/>
      <c r="M2517" s="17"/>
      <c r="N2517" s="17"/>
      <c r="O2517" s="17"/>
      <c r="P2517" s="17"/>
      <c r="Q2517" s="17"/>
      <c r="R2517" s="18"/>
      <c r="S2517" s="20"/>
    </row>
    <row r="2518" spans="1:19" x14ac:dyDescent="0.35">
      <c r="A2518" s="81"/>
      <c r="B2518" s="17"/>
      <c r="C2518" s="17"/>
      <c r="D2518" s="17"/>
      <c r="E2518" s="17"/>
      <c r="F2518" s="17"/>
      <c r="G2518" s="17"/>
      <c r="H2518" s="17"/>
      <c r="I2518" s="17"/>
      <c r="J2518" s="17"/>
      <c r="K2518" s="17"/>
      <c r="L2518" s="17"/>
      <c r="M2518" s="17"/>
      <c r="N2518" s="17"/>
      <c r="O2518" s="17"/>
      <c r="P2518" s="17"/>
      <c r="Q2518" s="17"/>
      <c r="R2518" s="18"/>
      <c r="S2518" s="20"/>
    </row>
    <row r="2519" spans="1:19" x14ac:dyDescent="0.35">
      <c r="A2519" s="82"/>
      <c r="B2519" s="19"/>
      <c r="C2519" s="19"/>
      <c r="D2519" s="19"/>
      <c r="E2519" s="19"/>
      <c r="F2519" s="19"/>
      <c r="G2519" s="19"/>
      <c r="H2519" s="19"/>
      <c r="I2519" s="19"/>
      <c r="J2519" s="19"/>
      <c r="K2519" s="19"/>
      <c r="L2519" s="19"/>
      <c r="M2519" s="19"/>
      <c r="N2519" s="19"/>
      <c r="O2519" s="19"/>
      <c r="P2519" s="19"/>
      <c r="Q2519" s="19"/>
      <c r="R2519" s="20"/>
      <c r="S2519" s="20"/>
    </row>
    <row r="2520" spans="1:19" x14ac:dyDescent="0.35">
      <c r="A2520" s="82"/>
      <c r="B2520" s="19"/>
      <c r="C2520" s="19"/>
      <c r="D2520" s="19"/>
      <c r="E2520" s="19"/>
      <c r="F2520" s="19"/>
      <c r="G2520" s="19"/>
      <c r="H2520" s="19"/>
      <c r="I2520" s="19"/>
      <c r="J2520" s="19"/>
      <c r="K2520" s="19"/>
      <c r="L2520" s="19"/>
      <c r="M2520" s="19"/>
      <c r="N2520" s="19"/>
      <c r="O2520" s="19"/>
      <c r="P2520" s="19"/>
      <c r="Q2520" s="19"/>
      <c r="R2520" s="20"/>
      <c r="S2520" s="20"/>
    </row>
    <row r="2521" spans="1:19" x14ac:dyDescent="0.35">
      <c r="A2521" s="81"/>
      <c r="B2521" s="17"/>
      <c r="C2521" s="17"/>
      <c r="D2521" s="17"/>
      <c r="E2521" s="17"/>
      <c r="F2521" s="17"/>
      <c r="G2521" s="17"/>
      <c r="H2521" s="17"/>
      <c r="I2521" s="17"/>
      <c r="J2521" s="17"/>
      <c r="K2521" s="17"/>
      <c r="L2521" s="17"/>
      <c r="M2521" s="17"/>
      <c r="N2521" s="17"/>
      <c r="O2521" s="17"/>
      <c r="P2521" s="17"/>
      <c r="Q2521" s="17"/>
      <c r="R2521" s="18"/>
      <c r="S2521" s="20"/>
    </row>
    <row r="2522" spans="1:19" x14ac:dyDescent="0.35">
      <c r="A2522" s="82"/>
      <c r="B2522" s="19"/>
      <c r="C2522" s="19"/>
      <c r="D2522" s="19"/>
      <c r="E2522" s="19"/>
      <c r="F2522" s="19"/>
      <c r="G2522" s="19"/>
      <c r="H2522" s="19"/>
      <c r="I2522" s="19"/>
      <c r="J2522" s="19"/>
      <c r="K2522" s="19"/>
      <c r="L2522" s="19"/>
      <c r="M2522" s="19"/>
      <c r="N2522" s="19"/>
      <c r="O2522" s="19"/>
      <c r="P2522" s="19"/>
      <c r="Q2522" s="19"/>
      <c r="R2522" s="20"/>
      <c r="S2522" s="20"/>
    </row>
    <row r="2523" spans="1:19" x14ac:dyDescent="0.35">
      <c r="A2523" s="82"/>
      <c r="B2523" s="19"/>
      <c r="C2523" s="19"/>
      <c r="D2523" s="19"/>
      <c r="E2523" s="19"/>
      <c r="F2523" s="19"/>
      <c r="G2523" s="19"/>
      <c r="H2523" s="19"/>
      <c r="I2523" s="19"/>
      <c r="J2523" s="19"/>
      <c r="K2523" s="19"/>
      <c r="L2523" s="19"/>
      <c r="M2523" s="19"/>
      <c r="N2523" s="19"/>
      <c r="O2523" s="19"/>
      <c r="P2523" s="19"/>
      <c r="Q2523" s="19"/>
      <c r="R2523" s="20"/>
      <c r="S2523" s="20"/>
    </row>
    <row r="2524" spans="1:19" x14ac:dyDescent="0.35">
      <c r="A2524" s="82"/>
      <c r="B2524" s="19"/>
      <c r="C2524" s="19"/>
      <c r="D2524" s="19"/>
      <c r="E2524" s="19"/>
      <c r="F2524" s="19"/>
      <c r="G2524" s="19"/>
      <c r="H2524" s="19"/>
      <c r="I2524" s="19"/>
      <c r="J2524" s="19"/>
      <c r="K2524" s="19"/>
      <c r="L2524" s="19"/>
      <c r="M2524" s="19"/>
      <c r="N2524" s="19"/>
      <c r="O2524" s="19"/>
      <c r="P2524" s="19"/>
      <c r="Q2524" s="19"/>
      <c r="R2524" s="20"/>
      <c r="S2524" s="20"/>
    </row>
    <row r="2525" spans="1:19" x14ac:dyDescent="0.35">
      <c r="A2525" s="81"/>
      <c r="B2525" s="17"/>
      <c r="C2525" s="17"/>
      <c r="D2525" s="17"/>
      <c r="E2525" s="17"/>
      <c r="F2525" s="17"/>
      <c r="G2525" s="17"/>
      <c r="H2525" s="17"/>
      <c r="I2525" s="17"/>
      <c r="J2525" s="17"/>
      <c r="K2525" s="17"/>
      <c r="L2525" s="17"/>
      <c r="M2525" s="17"/>
      <c r="N2525" s="17"/>
      <c r="O2525" s="19"/>
      <c r="P2525" s="17"/>
      <c r="Q2525" s="17"/>
      <c r="R2525" s="18"/>
      <c r="S2525" s="20"/>
    </row>
    <row r="2526" spans="1:19" x14ac:dyDescent="0.35">
      <c r="A2526" s="82"/>
      <c r="B2526" s="19"/>
      <c r="C2526" s="19"/>
      <c r="D2526" s="19"/>
      <c r="E2526" s="19"/>
      <c r="F2526" s="19"/>
      <c r="G2526" s="19"/>
      <c r="H2526" s="19"/>
      <c r="I2526" s="19"/>
      <c r="J2526" s="19"/>
      <c r="K2526" s="19"/>
      <c r="L2526" s="19"/>
      <c r="M2526" s="19"/>
      <c r="N2526" s="19"/>
      <c r="O2526" s="19"/>
      <c r="P2526" s="19"/>
      <c r="Q2526" s="19"/>
      <c r="R2526" s="20"/>
      <c r="S2526" s="20"/>
    </row>
    <row r="2527" spans="1:19" x14ac:dyDescent="0.35">
      <c r="A2527" s="82"/>
      <c r="B2527" s="19"/>
      <c r="C2527" s="19"/>
      <c r="D2527" s="19"/>
      <c r="E2527" s="19"/>
      <c r="F2527" s="19"/>
      <c r="G2527" s="19"/>
      <c r="H2527" s="19"/>
      <c r="I2527" s="19"/>
      <c r="J2527" s="19"/>
      <c r="K2527" s="19"/>
      <c r="L2527" s="19"/>
      <c r="M2527" s="19"/>
      <c r="N2527" s="19"/>
      <c r="O2527" s="19"/>
      <c r="P2527" s="19"/>
      <c r="Q2527" s="19"/>
      <c r="R2527" s="19"/>
      <c r="S2527" s="20"/>
    </row>
    <row r="2528" spans="1:19" x14ac:dyDescent="0.35">
      <c r="A2528" s="82"/>
      <c r="B2528" s="19"/>
      <c r="C2528" s="19"/>
      <c r="D2528" s="19"/>
      <c r="E2528" s="19"/>
      <c r="F2528" s="19"/>
      <c r="G2528" s="19"/>
      <c r="H2528" s="19"/>
      <c r="I2528" s="19"/>
      <c r="J2528" s="19"/>
      <c r="K2528" s="19"/>
      <c r="L2528" s="19"/>
      <c r="M2528" s="19"/>
      <c r="N2528" s="19"/>
      <c r="O2528" s="19"/>
      <c r="P2528" s="19"/>
      <c r="Q2528" s="19"/>
      <c r="R2528" s="20"/>
      <c r="S2528" s="20"/>
    </row>
    <row r="2529" spans="1:19" x14ac:dyDescent="0.35">
      <c r="A2529" s="82"/>
      <c r="B2529" s="19"/>
      <c r="C2529" s="19"/>
      <c r="D2529" s="19"/>
      <c r="E2529" s="19"/>
      <c r="F2529" s="19"/>
      <c r="G2529" s="19"/>
      <c r="H2529" s="19"/>
      <c r="I2529" s="19"/>
      <c r="J2529" s="19"/>
      <c r="K2529" s="19"/>
      <c r="L2529" s="19"/>
      <c r="M2529" s="19"/>
      <c r="N2529" s="19"/>
      <c r="O2529" s="19"/>
      <c r="P2529" s="19"/>
      <c r="Q2529" s="19"/>
      <c r="R2529" s="20"/>
      <c r="S2529" s="20"/>
    </row>
    <row r="2530" spans="1:19" x14ac:dyDescent="0.35">
      <c r="A2530" s="82"/>
      <c r="B2530" s="19"/>
      <c r="C2530" s="19"/>
      <c r="D2530" s="19"/>
      <c r="E2530" s="19"/>
      <c r="F2530" s="19"/>
      <c r="G2530" s="19"/>
      <c r="H2530" s="19"/>
      <c r="I2530" s="19"/>
      <c r="J2530" s="19"/>
      <c r="K2530" s="19"/>
      <c r="L2530" s="19"/>
      <c r="M2530" s="19"/>
      <c r="N2530" s="19"/>
      <c r="O2530" s="19"/>
      <c r="P2530" s="19"/>
      <c r="Q2530" s="19"/>
      <c r="R2530" s="20"/>
      <c r="S2530" s="20"/>
    </row>
    <row r="2531" spans="1:19" x14ac:dyDescent="0.35">
      <c r="A2531" s="81"/>
      <c r="B2531" s="17"/>
      <c r="C2531" s="17"/>
      <c r="D2531" s="17"/>
      <c r="E2531" s="17"/>
      <c r="F2531" s="17"/>
      <c r="G2531" s="17"/>
      <c r="H2531" s="17"/>
      <c r="I2531" s="17"/>
      <c r="J2531" s="17"/>
      <c r="K2531" s="17"/>
      <c r="L2531" s="17"/>
      <c r="M2531" s="17"/>
      <c r="N2531" s="17"/>
      <c r="O2531" s="17"/>
      <c r="P2531" s="17"/>
      <c r="Q2531" s="17"/>
      <c r="R2531" s="18"/>
      <c r="S2531" s="18"/>
    </row>
    <row r="2532" spans="1:19" x14ac:dyDescent="0.35">
      <c r="A2532" s="82"/>
      <c r="B2532" s="19"/>
      <c r="C2532" s="19"/>
      <c r="D2532" s="19"/>
      <c r="E2532" s="19"/>
      <c r="F2532" s="19"/>
      <c r="G2532" s="19"/>
      <c r="H2532" s="19"/>
      <c r="I2532" s="19"/>
      <c r="J2532" s="19"/>
      <c r="K2532" s="19"/>
      <c r="L2532" s="19"/>
      <c r="M2532" s="19"/>
      <c r="N2532" s="19"/>
      <c r="O2532" s="19"/>
      <c r="P2532" s="19"/>
      <c r="Q2532" s="19"/>
      <c r="R2532" s="20"/>
      <c r="S2532" s="20"/>
    </row>
    <row r="2533" spans="1:19" x14ac:dyDescent="0.35">
      <c r="A2533" s="81"/>
      <c r="B2533" s="17"/>
      <c r="C2533" s="17"/>
      <c r="D2533" s="17"/>
      <c r="E2533" s="17"/>
      <c r="F2533" s="17"/>
      <c r="G2533" s="17"/>
      <c r="H2533" s="17"/>
      <c r="I2533" s="17"/>
      <c r="J2533" s="17"/>
      <c r="K2533" s="17"/>
      <c r="L2533" s="17"/>
      <c r="M2533" s="17"/>
      <c r="N2533" s="17"/>
      <c r="O2533" s="17"/>
      <c r="P2533" s="17"/>
      <c r="Q2533" s="17"/>
      <c r="R2533" s="18"/>
      <c r="S2533" s="18"/>
    </row>
    <row r="2534" spans="1:19" x14ac:dyDescent="0.35">
      <c r="A2534" s="81"/>
      <c r="B2534" s="17"/>
      <c r="C2534" s="17"/>
      <c r="D2534" s="17"/>
      <c r="E2534" s="17"/>
      <c r="F2534" s="17"/>
      <c r="G2534" s="17"/>
      <c r="H2534" s="17"/>
      <c r="I2534" s="17"/>
      <c r="J2534" s="17"/>
      <c r="K2534" s="17"/>
      <c r="L2534" s="19"/>
      <c r="M2534" s="19"/>
      <c r="N2534" s="19"/>
      <c r="O2534" s="17"/>
      <c r="P2534" s="17"/>
      <c r="Q2534" s="17"/>
      <c r="R2534" s="18"/>
      <c r="S2534" s="20"/>
    </row>
    <row r="2535" spans="1:19" x14ac:dyDescent="0.35">
      <c r="A2535" s="82"/>
      <c r="B2535" s="19"/>
      <c r="C2535" s="19"/>
      <c r="D2535" s="19"/>
      <c r="E2535" s="19"/>
      <c r="F2535" s="19"/>
      <c r="G2535" s="19"/>
      <c r="H2535" s="19"/>
      <c r="I2535" s="19"/>
      <c r="J2535" s="19"/>
      <c r="K2535" s="19"/>
      <c r="L2535" s="19"/>
      <c r="M2535" s="19"/>
      <c r="N2535" s="19"/>
      <c r="O2535" s="19"/>
      <c r="P2535" s="19"/>
      <c r="Q2535" s="19"/>
      <c r="R2535" s="20"/>
      <c r="S2535" s="20"/>
    </row>
    <row r="2536" spans="1:19" x14ac:dyDescent="0.35">
      <c r="A2536" s="82"/>
      <c r="B2536" s="19"/>
      <c r="C2536" s="19"/>
      <c r="D2536" s="19"/>
      <c r="E2536" s="19"/>
      <c r="F2536" s="19"/>
      <c r="G2536" s="19"/>
      <c r="H2536" s="19"/>
      <c r="I2536" s="19"/>
      <c r="J2536" s="19"/>
      <c r="K2536" s="19"/>
      <c r="L2536" s="19"/>
      <c r="M2536" s="19"/>
      <c r="N2536" s="19"/>
      <c r="O2536" s="19"/>
      <c r="P2536" s="19"/>
      <c r="Q2536" s="19"/>
      <c r="R2536" s="20"/>
      <c r="S2536" s="20"/>
    </row>
    <row r="2537" spans="1:19" x14ac:dyDescent="0.35">
      <c r="A2537" s="82"/>
      <c r="B2537" s="19"/>
      <c r="C2537" s="19"/>
      <c r="D2537" s="19"/>
      <c r="E2537" s="19"/>
      <c r="F2537" s="19"/>
      <c r="G2537" s="19"/>
      <c r="H2537" s="19"/>
      <c r="I2537" s="19"/>
      <c r="J2537" s="19"/>
      <c r="K2537" s="19"/>
      <c r="L2537" s="19"/>
      <c r="M2537" s="19"/>
      <c r="N2537" s="19"/>
      <c r="O2537" s="19"/>
      <c r="P2537" s="19"/>
      <c r="Q2537" s="19"/>
      <c r="R2537" s="20"/>
      <c r="S2537" s="20"/>
    </row>
    <row r="2538" spans="1:19" x14ac:dyDescent="0.35">
      <c r="A2538" s="82"/>
      <c r="B2538" s="19"/>
      <c r="C2538" s="19"/>
      <c r="D2538" s="19"/>
      <c r="E2538" s="19"/>
      <c r="F2538" s="19"/>
      <c r="G2538" s="19"/>
      <c r="H2538" s="19"/>
      <c r="I2538" s="19"/>
      <c r="J2538" s="19"/>
      <c r="K2538" s="19"/>
      <c r="L2538" s="19"/>
      <c r="M2538" s="19"/>
      <c r="N2538" s="19"/>
      <c r="O2538" s="19"/>
      <c r="P2538" s="19"/>
      <c r="Q2538" s="19"/>
      <c r="R2538" s="20"/>
      <c r="S2538" s="20"/>
    </row>
    <row r="2539" spans="1:19" x14ac:dyDescent="0.35">
      <c r="A2539" s="82"/>
      <c r="B2539" s="19"/>
      <c r="C2539" s="19"/>
      <c r="D2539" s="19"/>
      <c r="E2539" s="19"/>
      <c r="F2539" s="19"/>
      <c r="G2539" s="19"/>
      <c r="H2539" s="19"/>
      <c r="I2539" s="19"/>
      <c r="J2539" s="19"/>
      <c r="K2539" s="19"/>
      <c r="L2539" s="19"/>
      <c r="M2539" s="19"/>
      <c r="N2539" s="19"/>
      <c r="O2539" s="19"/>
      <c r="P2539" s="19"/>
      <c r="Q2539" s="19"/>
      <c r="R2539" s="20"/>
      <c r="S2539" s="20"/>
    </row>
    <row r="2540" spans="1:19" x14ac:dyDescent="0.35">
      <c r="A2540" s="82"/>
      <c r="B2540" s="19"/>
      <c r="C2540" s="19"/>
      <c r="D2540" s="19"/>
      <c r="E2540" s="19"/>
      <c r="F2540" s="19"/>
      <c r="G2540" s="19"/>
      <c r="H2540" s="19"/>
      <c r="I2540" s="19"/>
      <c r="J2540" s="19"/>
      <c r="K2540" s="19"/>
      <c r="L2540" s="19"/>
      <c r="M2540" s="19"/>
      <c r="N2540" s="19"/>
      <c r="O2540" s="19"/>
      <c r="P2540" s="19"/>
      <c r="Q2540" s="19"/>
      <c r="R2540" s="20"/>
      <c r="S2540" s="20"/>
    </row>
    <row r="2541" spans="1:19" x14ac:dyDescent="0.35">
      <c r="A2541" s="82"/>
      <c r="B2541" s="19"/>
      <c r="C2541" s="19"/>
      <c r="D2541" s="19"/>
      <c r="E2541" s="19"/>
      <c r="F2541" s="19"/>
      <c r="G2541" s="19"/>
      <c r="H2541" s="19"/>
      <c r="I2541" s="19"/>
      <c r="J2541" s="19"/>
      <c r="K2541" s="19"/>
      <c r="L2541" s="19"/>
      <c r="M2541" s="19"/>
      <c r="N2541" s="19"/>
      <c r="O2541" s="19"/>
      <c r="P2541" s="19"/>
      <c r="Q2541" s="19"/>
      <c r="R2541" s="20"/>
      <c r="S2541" s="20"/>
    </row>
    <row r="2542" spans="1:19" x14ac:dyDescent="0.35">
      <c r="A2542" s="81"/>
      <c r="B2542" s="17"/>
      <c r="C2542" s="17"/>
      <c r="D2542" s="17"/>
      <c r="E2542" s="17"/>
      <c r="F2542" s="17"/>
      <c r="G2542" s="17"/>
      <c r="H2542" s="17"/>
      <c r="I2542" s="17"/>
      <c r="J2542" s="17"/>
      <c r="K2542" s="17"/>
      <c r="L2542" s="17"/>
      <c r="M2542" s="17"/>
      <c r="N2542" s="17"/>
      <c r="O2542" s="17"/>
      <c r="P2542" s="17"/>
      <c r="Q2542" s="17"/>
      <c r="R2542" s="18"/>
      <c r="S2542" s="20"/>
    </row>
    <row r="2543" spans="1:19" x14ac:dyDescent="0.35">
      <c r="A2543" s="82"/>
      <c r="B2543" s="19"/>
      <c r="C2543" s="19"/>
      <c r="D2543" s="19"/>
      <c r="E2543" s="19"/>
      <c r="F2543" s="19"/>
      <c r="G2543" s="19"/>
      <c r="H2543" s="19"/>
      <c r="I2543" s="19"/>
      <c r="J2543" s="19"/>
      <c r="K2543" s="19"/>
      <c r="L2543" s="19"/>
      <c r="M2543" s="19"/>
      <c r="N2543" s="19"/>
      <c r="O2543" s="19"/>
      <c r="P2543" s="19"/>
      <c r="Q2543" s="19"/>
      <c r="R2543" s="20"/>
      <c r="S2543" s="20"/>
    </row>
    <row r="2544" spans="1:19" x14ac:dyDescent="0.35">
      <c r="A2544" s="82"/>
      <c r="B2544" s="19"/>
      <c r="C2544" s="19"/>
      <c r="D2544" s="19"/>
      <c r="E2544" s="19"/>
      <c r="F2544" s="19"/>
      <c r="G2544" s="19"/>
      <c r="H2544" s="19"/>
      <c r="I2544" s="19"/>
      <c r="J2544" s="19"/>
      <c r="K2544" s="19"/>
      <c r="L2544" s="19"/>
      <c r="M2544" s="19"/>
      <c r="N2544" s="19"/>
      <c r="O2544" s="19"/>
      <c r="P2544" s="19"/>
      <c r="Q2544" s="19"/>
      <c r="R2544" s="20"/>
      <c r="S2544" s="20"/>
    </row>
    <row r="2545" spans="1:19" x14ac:dyDescent="0.35">
      <c r="A2545" s="82"/>
      <c r="B2545" s="19"/>
      <c r="C2545" s="19"/>
      <c r="D2545" s="19"/>
      <c r="E2545" s="19"/>
      <c r="F2545" s="19"/>
      <c r="G2545" s="19"/>
      <c r="H2545" s="19"/>
      <c r="I2545" s="19"/>
      <c r="J2545" s="19"/>
      <c r="K2545" s="19"/>
      <c r="L2545" s="19"/>
      <c r="M2545" s="19"/>
      <c r="N2545" s="19"/>
      <c r="O2545" s="19"/>
      <c r="P2545" s="19"/>
      <c r="Q2545" s="19"/>
      <c r="R2545" s="20"/>
      <c r="S2545" s="20"/>
    </row>
    <row r="2546" spans="1:19" x14ac:dyDescent="0.35">
      <c r="A2546" s="82"/>
      <c r="B2546" s="19"/>
      <c r="C2546" s="19"/>
      <c r="D2546" s="19"/>
      <c r="E2546" s="19"/>
      <c r="F2546" s="19"/>
      <c r="G2546" s="19"/>
      <c r="H2546" s="19"/>
      <c r="I2546" s="19"/>
      <c r="J2546" s="19"/>
      <c r="K2546" s="19"/>
      <c r="L2546" s="19"/>
      <c r="M2546" s="19"/>
      <c r="N2546" s="19"/>
      <c r="O2546" s="19"/>
      <c r="P2546" s="19"/>
      <c r="Q2546" s="19"/>
      <c r="R2546" s="20"/>
      <c r="S2546" s="18"/>
    </row>
    <row r="2547" spans="1:19" x14ac:dyDescent="0.35">
      <c r="A2547" s="81"/>
      <c r="B2547" s="17"/>
      <c r="C2547" s="17"/>
      <c r="D2547" s="17"/>
      <c r="E2547" s="17"/>
      <c r="F2547" s="17"/>
      <c r="G2547" s="17"/>
      <c r="H2547" s="17"/>
      <c r="I2547" s="17"/>
      <c r="J2547" s="17"/>
      <c r="K2547" s="17"/>
      <c r="L2547" s="17"/>
      <c r="M2547" s="17"/>
      <c r="N2547" s="17"/>
      <c r="O2547" s="17"/>
      <c r="P2547" s="17"/>
      <c r="Q2547" s="17"/>
      <c r="R2547" s="18"/>
      <c r="S2547" s="20"/>
    </row>
    <row r="2548" spans="1:19" x14ac:dyDescent="0.35">
      <c r="A2548" s="81"/>
      <c r="B2548" s="17"/>
      <c r="C2548" s="17"/>
      <c r="D2548" s="17"/>
      <c r="E2548" s="17"/>
      <c r="F2548" s="17"/>
      <c r="G2548" s="17"/>
      <c r="H2548" s="17"/>
      <c r="I2548" s="17"/>
      <c r="J2548" s="17"/>
      <c r="K2548" s="17"/>
      <c r="L2548" s="17"/>
      <c r="M2548" s="17"/>
      <c r="N2548" s="17"/>
      <c r="O2548" s="17"/>
      <c r="P2548" s="17"/>
      <c r="Q2548" s="17"/>
      <c r="R2548" s="18"/>
      <c r="S2548" s="18"/>
    </row>
    <row r="2549" spans="1:19" x14ac:dyDescent="0.35">
      <c r="A2549" s="81"/>
      <c r="B2549" s="17"/>
      <c r="C2549" s="17"/>
      <c r="D2549" s="17"/>
      <c r="E2549" s="17"/>
      <c r="F2549" s="17"/>
      <c r="G2549" s="17"/>
      <c r="H2549" s="17"/>
      <c r="I2549" s="17"/>
      <c r="J2549" s="17"/>
      <c r="K2549" s="17"/>
      <c r="L2549" s="17"/>
      <c r="M2549" s="17"/>
      <c r="N2549" s="17"/>
      <c r="O2549" s="19"/>
      <c r="P2549" s="17"/>
      <c r="Q2549" s="17"/>
      <c r="R2549" s="18"/>
      <c r="S2549" s="20"/>
    </row>
    <row r="2550" spans="1:19" x14ac:dyDescent="0.35">
      <c r="A2550" s="82"/>
      <c r="B2550" s="19"/>
      <c r="C2550" s="19"/>
      <c r="D2550" s="19"/>
      <c r="E2550" s="19"/>
      <c r="F2550" s="19"/>
      <c r="G2550" s="19"/>
      <c r="H2550" s="19"/>
      <c r="I2550" s="19"/>
      <c r="J2550" s="19"/>
      <c r="K2550" s="19"/>
      <c r="L2550" s="19"/>
      <c r="M2550" s="19"/>
      <c r="N2550" s="19"/>
      <c r="O2550" s="19"/>
      <c r="P2550" s="19"/>
      <c r="Q2550" s="19"/>
      <c r="R2550" s="20"/>
      <c r="S2550" s="20"/>
    </row>
    <row r="2551" spans="1:19" x14ac:dyDescent="0.35">
      <c r="A2551" s="82"/>
      <c r="B2551" s="19"/>
      <c r="C2551" s="19"/>
      <c r="D2551" s="19"/>
      <c r="E2551" s="19"/>
      <c r="F2551" s="19"/>
      <c r="G2551" s="19"/>
      <c r="H2551" s="19"/>
      <c r="I2551" s="19"/>
      <c r="J2551" s="19"/>
      <c r="K2551" s="19"/>
      <c r="L2551" s="19"/>
      <c r="M2551" s="19"/>
      <c r="N2551" s="19"/>
      <c r="O2551" s="19"/>
      <c r="P2551" s="19"/>
      <c r="Q2551" s="19"/>
      <c r="R2551" s="20"/>
      <c r="S2551" s="20"/>
    </row>
    <row r="2552" spans="1:19" x14ac:dyDescent="0.35">
      <c r="A2552" s="82"/>
      <c r="B2552" s="19"/>
      <c r="C2552" s="19"/>
      <c r="D2552" s="19"/>
      <c r="E2552" s="19"/>
      <c r="F2552" s="19"/>
      <c r="G2552" s="19"/>
      <c r="H2552" s="19"/>
      <c r="I2552" s="19"/>
      <c r="J2552" s="19"/>
      <c r="K2552" s="19"/>
      <c r="L2552" s="19"/>
      <c r="M2552" s="19"/>
      <c r="N2552" s="19"/>
      <c r="O2552" s="19"/>
      <c r="P2552" s="19"/>
      <c r="Q2552" s="19"/>
      <c r="R2552" s="20"/>
      <c r="S2552" s="20"/>
    </row>
    <row r="2553" spans="1:19" x14ac:dyDescent="0.35">
      <c r="A2553" s="82"/>
      <c r="B2553" s="19"/>
      <c r="C2553" s="19"/>
      <c r="D2553" s="19"/>
      <c r="E2553" s="19"/>
      <c r="F2553" s="19"/>
      <c r="G2553" s="19"/>
      <c r="H2553" s="19"/>
      <c r="I2553" s="19"/>
      <c r="J2553" s="19"/>
      <c r="K2553" s="19"/>
      <c r="L2553" s="19"/>
      <c r="M2553" s="19"/>
      <c r="N2553" s="19"/>
      <c r="O2553" s="19"/>
      <c r="P2553" s="19"/>
      <c r="Q2553" s="19"/>
      <c r="R2553" s="20"/>
      <c r="S2553" s="20"/>
    </row>
    <row r="2554" spans="1:19" x14ac:dyDescent="0.35">
      <c r="A2554" s="81"/>
      <c r="B2554" s="17"/>
      <c r="C2554" s="17"/>
      <c r="D2554" s="17"/>
      <c r="E2554" s="17"/>
      <c r="F2554" s="17"/>
      <c r="G2554" s="17"/>
      <c r="H2554" s="17"/>
      <c r="I2554" s="17"/>
      <c r="J2554" s="17"/>
      <c r="K2554" s="17"/>
      <c r="L2554" s="17"/>
      <c r="M2554" s="17"/>
      <c r="N2554" s="17"/>
      <c r="O2554" s="17"/>
      <c r="P2554" s="17"/>
      <c r="Q2554" s="17"/>
      <c r="R2554" s="18"/>
      <c r="S2554" s="20"/>
    </row>
    <row r="2555" spans="1:19" x14ac:dyDescent="0.35">
      <c r="A2555" s="82"/>
      <c r="B2555" s="19"/>
      <c r="C2555" s="19"/>
      <c r="D2555" s="19"/>
      <c r="E2555" s="19"/>
      <c r="F2555" s="19"/>
      <c r="G2555" s="19"/>
      <c r="H2555" s="19"/>
      <c r="I2555" s="19"/>
      <c r="J2555" s="19"/>
      <c r="K2555" s="19"/>
      <c r="L2555" s="19"/>
      <c r="M2555" s="19"/>
      <c r="N2555" s="19"/>
      <c r="O2555" s="19"/>
      <c r="P2555" s="19"/>
      <c r="Q2555" s="19"/>
      <c r="R2555" s="20"/>
      <c r="S2555" s="20"/>
    </row>
    <row r="2556" spans="1:19" x14ac:dyDescent="0.35">
      <c r="A2556" s="81"/>
      <c r="B2556" s="17"/>
      <c r="C2556" s="17"/>
      <c r="D2556" s="17"/>
      <c r="E2556" s="17"/>
      <c r="F2556" s="17"/>
      <c r="G2556" s="17"/>
      <c r="H2556" s="17"/>
      <c r="I2556" s="17"/>
      <c r="J2556" s="17"/>
      <c r="K2556" s="17"/>
      <c r="L2556" s="19"/>
      <c r="M2556" s="19"/>
      <c r="N2556" s="19"/>
      <c r="O2556" s="17"/>
      <c r="P2556" s="17"/>
      <c r="Q2556" s="17"/>
      <c r="R2556" s="18"/>
      <c r="S2556" s="20"/>
    </row>
    <row r="2557" spans="1:19" x14ac:dyDescent="0.35">
      <c r="A2557" s="81"/>
      <c r="B2557" s="17"/>
      <c r="C2557" s="17"/>
      <c r="D2557" s="17"/>
      <c r="E2557" s="17"/>
      <c r="F2557" s="17"/>
      <c r="G2557" s="17"/>
      <c r="H2557" s="17"/>
      <c r="I2557" s="17"/>
      <c r="J2557" s="17"/>
      <c r="K2557" s="17"/>
      <c r="L2557" s="17"/>
      <c r="M2557" s="17"/>
      <c r="N2557" s="17"/>
      <c r="O2557" s="17"/>
      <c r="P2557" s="17"/>
      <c r="Q2557" s="17"/>
      <c r="R2557" s="18"/>
      <c r="S2557" s="20"/>
    </row>
    <row r="2558" spans="1:19" x14ac:dyDescent="0.35">
      <c r="A2558" s="82"/>
      <c r="B2558" s="19"/>
      <c r="C2558" s="19"/>
      <c r="D2558" s="19"/>
      <c r="E2558" s="19"/>
      <c r="F2558" s="19"/>
      <c r="G2558" s="19"/>
      <c r="H2558" s="19"/>
      <c r="I2558" s="19"/>
      <c r="J2558" s="19"/>
      <c r="K2558" s="19"/>
      <c r="L2558" s="19"/>
      <c r="M2558" s="19"/>
      <c r="N2558" s="19"/>
      <c r="O2558" s="19"/>
      <c r="P2558" s="19"/>
      <c r="Q2558" s="19"/>
      <c r="R2558" s="20"/>
      <c r="S2558" s="20"/>
    </row>
    <row r="2559" spans="1:19" x14ac:dyDescent="0.35">
      <c r="A2559" s="82"/>
      <c r="B2559" s="19"/>
      <c r="C2559" s="19"/>
      <c r="D2559" s="19"/>
      <c r="E2559" s="19"/>
      <c r="F2559" s="19"/>
      <c r="G2559" s="19"/>
      <c r="H2559" s="19"/>
      <c r="I2559" s="19"/>
      <c r="J2559" s="19"/>
      <c r="K2559" s="19"/>
      <c r="L2559" s="19"/>
      <c r="M2559" s="19"/>
      <c r="N2559" s="19"/>
      <c r="O2559" s="19"/>
      <c r="P2559" s="19"/>
      <c r="Q2559" s="19"/>
      <c r="R2559" s="20"/>
      <c r="S2559" s="20"/>
    </row>
    <row r="2560" spans="1:19" x14ac:dyDescent="0.35">
      <c r="A2560" s="82"/>
      <c r="B2560" s="19"/>
      <c r="C2560" s="19"/>
      <c r="D2560" s="19"/>
      <c r="E2560" s="19"/>
      <c r="F2560" s="19"/>
      <c r="G2560" s="19"/>
      <c r="H2560" s="19"/>
      <c r="I2560" s="19"/>
      <c r="J2560" s="19"/>
      <c r="K2560" s="19"/>
      <c r="L2560" s="19"/>
      <c r="M2560" s="19"/>
      <c r="N2560" s="19"/>
      <c r="O2560" s="19"/>
      <c r="P2560" s="19"/>
      <c r="Q2560" s="19"/>
      <c r="R2560" s="20"/>
      <c r="S2560" s="20"/>
    </row>
    <row r="2561" spans="1:19" x14ac:dyDescent="0.35">
      <c r="A2561" s="82"/>
      <c r="B2561" s="19"/>
      <c r="C2561" s="19"/>
      <c r="D2561" s="19"/>
      <c r="E2561" s="19"/>
      <c r="F2561" s="19"/>
      <c r="G2561" s="19"/>
      <c r="H2561" s="19"/>
      <c r="I2561" s="19"/>
      <c r="J2561" s="19"/>
      <c r="K2561" s="19"/>
      <c r="L2561" s="19"/>
      <c r="M2561" s="19"/>
      <c r="N2561" s="19"/>
      <c r="O2561" s="19"/>
      <c r="P2561" s="19"/>
      <c r="Q2561" s="19"/>
      <c r="R2561" s="20"/>
      <c r="S2561" s="20"/>
    </row>
    <row r="2562" spans="1:19" x14ac:dyDescent="0.35">
      <c r="A2562" s="82"/>
      <c r="B2562" s="19"/>
      <c r="C2562" s="19"/>
      <c r="D2562" s="19"/>
      <c r="E2562" s="19"/>
      <c r="F2562" s="19"/>
      <c r="G2562" s="19"/>
      <c r="H2562" s="19"/>
      <c r="I2562" s="19"/>
      <c r="J2562" s="19"/>
      <c r="K2562" s="19"/>
      <c r="L2562" s="19"/>
      <c r="M2562" s="19"/>
      <c r="N2562" s="19"/>
      <c r="O2562" s="19"/>
      <c r="P2562" s="19"/>
      <c r="Q2562" s="19"/>
      <c r="R2562" s="20"/>
      <c r="S2562" s="20"/>
    </row>
    <row r="2563" spans="1:19" x14ac:dyDescent="0.35">
      <c r="A2563" s="81"/>
      <c r="B2563" s="17"/>
      <c r="C2563" s="17"/>
      <c r="D2563" s="17"/>
      <c r="E2563" s="17"/>
      <c r="F2563" s="17"/>
      <c r="G2563" s="17"/>
      <c r="H2563" s="17"/>
      <c r="I2563" s="17"/>
      <c r="J2563" s="17"/>
      <c r="K2563" s="17"/>
      <c r="L2563" s="17"/>
      <c r="M2563" s="17"/>
      <c r="N2563" s="17"/>
      <c r="O2563" s="17"/>
      <c r="P2563" s="17"/>
      <c r="Q2563" s="17"/>
      <c r="R2563" s="18"/>
      <c r="S2563" s="20"/>
    </row>
    <row r="2564" spans="1:19" x14ac:dyDescent="0.35">
      <c r="A2564" s="82"/>
      <c r="B2564" s="19"/>
      <c r="C2564" s="19"/>
      <c r="D2564" s="19"/>
      <c r="E2564" s="19"/>
      <c r="F2564" s="19"/>
      <c r="G2564" s="19"/>
      <c r="H2564" s="19"/>
      <c r="I2564" s="19"/>
      <c r="J2564" s="19"/>
      <c r="K2564" s="19"/>
      <c r="L2564" s="19"/>
      <c r="M2564" s="19"/>
      <c r="N2564" s="19"/>
      <c r="O2564" s="19"/>
      <c r="P2564" s="19"/>
      <c r="Q2564" s="19"/>
      <c r="R2564" s="20"/>
      <c r="S2564" s="20"/>
    </row>
    <row r="2565" spans="1:19" x14ac:dyDescent="0.35">
      <c r="A2565" s="81"/>
      <c r="B2565" s="17"/>
      <c r="C2565" s="17"/>
      <c r="D2565" s="17"/>
      <c r="E2565" s="17"/>
      <c r="F2565" s="17"/>
      <c r="G2565" s="17"/>
      <c r="H2565" s="17"/>
      <c r="I2565" s="17"/>
      <c r="J2565" s="17"/>
      <c r="K2565" s="17"/>
      <c r="L2565" s="19"/>
      <c r="M2565" s="19"/>
      <c r="N2565" s="19"/>
      <c r="O2565" s="17"/>
      <c r="P2565" s="17"/>
      <c r="Q2565" s="17"/>
      <c r="R2565" s="18"/>
      <c r="S2565" s="18"/>
    </row>
    <row r="2566" spans="1:19" x14ac:dyDescent="0.35">
      <c r="A2566" s="81"/>
      <c r="B2566" s="17"/>
      <c r="C2566" s="17"/>
      <c r="D2566" s="17"/>
      <c r="E2566" s="17"/>
      <c r="F2566" s="17"/>
      <c r="G2566" s="17"/>
      <c r="H2566" s="17"/>
      <c r="I2566" s="17"/>
      <c r="J2566" s="17"/>
      <c r="K2566" s="17"/>
      <c r="L2566" s="17"/>
      <c r="M2566" s="17"/>
      <c r="N2566" s="17"/>
      <c r="O2566" s="17"/>
      <c r="P2566" s="17"/>
      <c r="Q2566" s="17"/>
      <c r="R2566" s="18"/>
      <c r="S2566" s="20"/>
    </row>
    <row r="2567" spans="1:19" x14ac:dyDescent="0.35">
      <c r="A2567" s="82"/>
      <c r="B2567" s="19"/>
      <c r="C2567" s="19"/>
      <c r="D2567" s="19"/>
      <c r="E2567" s="19"/>
      <c r="F2567" s="19"/>
      <c r="G2567" s="19"/>
      <c r="H2567" s="19"/>
      <c r="I2567" s="19"/>
      <c r="J2567" s="19"/>
      <c r="K2567" s="19"/>
      <c r="L2567" s="19"/>
      <c r="M2567" s="19"/>
      <c r="N2567" s="19"/>
      <c r="O2567" s="19"/>
      <c r="P2567" s="19"/>
      <c r="Q2567" s="19"/>
      <c r="R2567" s="20"/>
      <c r="S2567" s="20"/>
    </row>
    <row r="2568" spans="1:19" x14ac:dyDescent="0.35">
      <c r="A2568" s="82"/>
      <c r="B2568" s="19"/>
      <c r="C2568" s="19"/>
      <c r="D2568" s="19"/>
      <c r="E2568" s="19"/>
      <c r="F2568" s="19"/>
      <c r="G2568" s="19"/>
      <c r="H2568" s="19"/>
      <c r="I2568" s="19"/>
      <c r="J2568" s="19"/>
      <c r="K2568" s="19"/>
      <c r="L2568" s="19"/>
      <c r="M2568" s="19"/>
      <c r="N2568" s="19"/>
      <c r="O2568" s="19"/>
      <c r="P2568" s="19"/>
      <c r="Q2568" s="19"/>
      <c r="R2568" s="20"/>
      <c r="S2568" s="20"/>
    </row>
    <row r="2569" spans="1:19" x14ac:dyDescent="0.35">
      <c r="A2569" s="82"/>
      <c r="B2569" s="19"/>
      <c r="C2569" s="19"/>
      <c r="D2569" s="19"/>
      <c r="E2569" s="19"/>
      <c r="F2569" s="19"/>
      <c r="G2569" s="19"/>
      <c r="H2569" s="19"/>
      <c r="I2569" s="19"/>
      <c r="J2569" s="19"/>
      <c r="K2569" s="19"/>
      <c r="L2569" s="19"/>
      <c r="M2569" s="19"/>
      <c r="N2569" s="19"/>
      <c r="O2569" s="19"/>
      <c r="P2569" s="19"/>
      <c r="Q2569" s="19"/>
      <c r="R2569" s="20"/>
      <c r="S2569" s="20"/>
    </row>
    <row r="2570" spans="1:19" x14ac:dyDescent="0.35">
      <c r="A2570" s="82"/>
      <c r="B2570" s="19"/>
      <c r="C2570" s="19"/>
      <c r="D2570" s="19"/>
      <c r="E2570" s="19"/>
      <c r="F2570" s="19"/>
      <c r="G2570" s="19"/>
      <c r="H2570" s="19"/>
      <c r="I2570" s="19"/>
      <c r="J2570" s="19"/>
      <c r="K2570" s="19"/>
      <c r="L2570" s="19"/>
      <c r="M2570" s="19"/>
      <c r="N2570" s="19"/>
      <c r="O2570" s="19"/>
      <c r="P2570" s="19"/>
      <c r="Q2570" s="19"/>
      <c r="R2570" s="20"/>
      <c r="S2570" s="20"/>
    </row>
    <row r="2571" spans="1:19" x14ac:dyDescent="0.35">
      <c r="A2571" s="82"/>
      <c r="B2571" s="19"/>
      <c r="C2571" s="19"/>
      <c r="D2571" s="19"/>
      <c r="E2571" s="19"/>
      <c r="F2571" s="19"/>
      <c r="G2571" s="19"/>
      <c r="H2571" s="19"/>
      <c r="I2571" s="19"/>
      <c r="J2571" s="19"/>
      <c r="K2571" s="19"/>
      <c r="L2571" s="19"/>
      <c r="M2571" s="19"/>
      <c r="N2571" s="19"/>
      <c r="O2571" s="19"/>
      <c r="P2571" s="19"/>
      <c r="Q2571" s="19"/>
      <c r="R2571" s="20"/>
    </row>
    <row r="2572" spans="1:19" x14ac:dyDescent="0.35">
      <c r="A2572" s="82"/>
      <c r="B2572" s="19"/>
      <c r="C2572" s="19"/>
      <c r="D2572" s="19"/>
      <c r="E2572" s="19"/>
      <c r="F2572" s="19"/>
      <c r="G2572" s="19"/>
      <c r="H2572" s="19"/>
      <c r="I2572" s="19"/>
      <c r="J2572" s="19"/>
      <c r="K2572" s="19"/>
      <c r="L2572" s="19"/>
      <c r="M2572" s="19"/>
      <c r="N2572" s="19"/>
      <c r="O2572" s="19"/>
      <c r="P2572" s="19"/>
      <c r="Q2572" s="19"/>
      <c r="R2572" s="20"/>
    </row>
    <row r="2573" spans="1:19" x14ac:dyDescent="0.35">
      <c r="A2573" s="82"/>
      <c r="B2573" s="19"/>
      <c r="C2573" s="19"/>
      <c r="D2573" s="19"/>
      <c r="E2573" s="19"/>
      <c r="F2573" s="19"/>
      <c r="G2573" s="19"/>
      <c r="H2573" s="19"/>
      <c r="I2573" s="19"/>
      <c r="J2573" s="19"/>
      <c r="K2573" s="19"/>
      <c r="L2573" s="19"/>
      <c r="M2573" s="19"/>
      <c r="N2573" s="19"/>
      <c r="O2573" s="19"/>
      <c r="P2573" s="19"/>
      <c r="Q2573" s="19"/>
      <c r="R2573" s="20"/>
    </row>
    <row r="2574" spans="1:19" x14ac:dyDescent="0.35">
      <c r="A2574" s="82"/>
      <c r="B2574" s="19"/>
      <c r="C2574" s="19"/>
      <c r="D2574" s="19"/>
      <c r="E2574" s="19"/>
      <c r="F2574" s="19"/>
      <c r="G2574" s="19"/>
      <c r="H2574" s="19"/>
      <c r="I2574" s="19"/>
      <c r="J2574" s="19"/>
      <c r="K2574" s="19"/>
      <c r="L2574" s="19"/>
      <c r="M2574" s="19"/>
      <c r="N2574" s="19"/>
      <c r="O2574" s="19"/>
      <c r="P2574" s="19"/>
      <c r="Q2574" s="19"/>
      <c r="R2574" s="20"/>
    </row>
    <row r="2575" spans="1:19" x14ac:dyDescent="0.35">
      <c r="A2575" s="81"/>
      <c r="B2575" s="17"/>
      <c r="C2575" s="17"/>
      <c r="D2575" s="17"/>
      <c r="E2575" s="17"/>
      <c r="F2575" s="17"/>
      <c r="G2575" s="17"/>
      <c r="H2575" s="17"/>
      <c r="I2575" s="17"/>
      <c r="J2575" s="17"/>
      <c r="K2575" s="17"/>
      <c r="L2575" s="17"/>
      <c r="M2575" s="17"/>
      <c r="N2575" s="17"/>
      <c r="O2575" s="17"/>
      <c r="P2575" s="17"/>
      <c r="Q2575" s="17"/>
      <c r="R2575" s="18"/>
    </row>
    <row r="2576" spans="1:19" x14ac:dyDescent="0.35">
      <c r="A2576" s="81"/>
      <c r="B2576" s="17"/>
      <c r="C2576" s="17"/>
      <c r="D2576" s="17"/>
      <c r="E2576" s="17"/>
      <c r="F2576" s="17"/>
      <c r="G2576" s="17"/>
      <c r="H2576" s="17"/>
      <c r="I2576" s="17"/>
      <c r="J2576" s="17"/>
      <c r="K2576" s="17"/>
      <c r="L2576" s="17"/>
      <c r="M2576" s="17"/>
      <c r="N2576" s="17"/>
      <c r="O2576" s="17"/>
      <c r="P2576" s="17"/>
      <c r="Q2576" s="17"/>
      <c r="R2576" s="18"/>
    </row>
    <row r="2577" spans="1:19" x14ac:dyDescent="0.35">
      <c r="A2577" s="82"/>
      <c r="B2577" s="19"/>
      <c r="C2577" s="19"/>
      <c r="D2577" s="19"/>
      <c r="E2577" s="19"/>
      <c r="F2577" s="19"/>
      <c r="G2577" s="19"/>
      <c r="H2577" s="19"/>
      <c r="I2577" s="19"/>
      <c r="J2577" s="19"/>
      <c r="K2577" s="19"/>
      <c r="L2577" s="19"/>
      <c r="M2577" s="19"/>
      <c r="N2577" s="19"/>
      <c r="O2577" s="19"/>
      <c r="P2577" s="19"/>
      <c r="Q2577" s="19"/>
      <c r="R2577" s="20"/>
    </row>
    <row r="2578" spans="1:19" x14ac:dyDescent="0.35">
      <c r="A2578" s="82"/>
      <c r="B2578" s="19"/>
      <c r="C2578" s="19"/>
      <c r="D2578" s="19"/>
      <c r="E2578" s="19"/>
      <c r="F2578" s="19"/>
      <c r="G2578" s="19"/>
      <c r="H2578" s="19"/>
      <c r="I2578" s="19"/>
      <c r="J2578" s="19"/>
      <c r="K2578" s="19"/>
      <c r="L2578" s="19"/>
      <c r="M2578" s="19"/>
      <c r="N2578" s="19"/>
      <c r="O2578" s="19"/>
      <c r="P2578" s="19"/>
      <c r="Q2578" s="19"/>
      <c r="R2578" s="20"/>
    </row>
    <row r="2579" spans="1:19" x14ac:dyDescent="0.35">
      <c r="A2579" s="82"/>
      <c r="B2579" s="19"/>
      <c r="C2579" s="19"/>
      <c r="D2579" s="19"/>
      <c r="E2579" s="19"/>
      <c r="F2579" s="19"/>
      <c r="G2579" s="19"/>
      <c r="H2579" s="19"/>
      <c r="I2579" s="19"/>
      <c r="J2579" s="19"/>
      <c r="K2579" s="19"/>
      <c r="L2579" s="19"/>
      <c r="M2579" s="19"/>
      <c r="N2579" s="19"/>
      <c r="O2579" s="19"/>
      <c r="P2579" s="19"/>
      <c r="Q2579" s="19"/>
      <c r="R2579" s="20"/>
    </row>
    <row r="2580" spans="1:19" x14ac:dyDescent="0.35">
      <c r="A2580" s="82"/>
      <c r="B2580" s="19"/>
      <c r="C2580" s="19"/>
      <c r="D2580" s="19"/>
      <c r="E2580" s="19"/>
      <c r="F2580" s="19"/>
      <c r="G2580" s="19"/>
      <c r="H2580" s="19"/>
      <c r="I2580" s="19"/>
      <c r="J2580" s="19"/>
      <c r="K2580" s="19"/>
      <c r="L2580" s="19"/>
      <c r="M2580" s="19"/>
      <c r="N2580" s="19"/>
      <c r="O2580" s="19"/>
      <c r="P2580" s="19"/>
      <c r="Q2580" s="19"/>
      <c r="R2580" s="20"/>
    </row>
    <row r="2581" spans="1:19" x14ac:dyDescent="0.35">
      <c r="A2581" s="82"/>
      <c r="B2581" s="19"/>
      <c r="C2581" s="19"/>
      <c r="D2581" s="19"/>
      <c r="E2581" s="19"/>
      <c r="F2581" s="19"/>
      <c r="G2581" s="19"/>
      <c r="H2581" s="19"/>
      <c r="I2581" s="19"/>
      <c r="J2581" s="19"/>
      <c r="K2581" s="19"/>
      <c r="L2581" s="19"/>
      <c r="M2581" s="19"/>
      <c r="N2581" s="19"/>
      <c r="O2581" s="19"/>
      <c r="P2581" s="19"/>
      <c r="Q2581" s="19"/>
      <c r="R2581" s="20"/>
    </row>
    <row r="2582" spans="1:19" x14ac:dyDescent="0.35">
      <c r="A2582" s="81"/>
      <c r="B2582" s="17"/>
      <c r="C2582" s="17"/>
      <c r="D2582" s="17"/>
      <c r="E2582" s="17"/>
      <c r="F2582" s="17"/>
      <c r="G2582" s="17"/>
      <c r="H2582" s="17"/>
      <c r="I2582" s="17"/>
      <c r="J2582" s="17"/>
      <c r="K2582" s="17"/>
      <c r="L2582" s="17"/>
      <c r="M2582" s="17"/>
      <c r="N2582" s="17"/>
      <c r="O2582" s="17"/>
      <c r="P2582" s="17"/>
      <c r="Q2582" s="17"/>
      <c r="R2582" s="18"/>
    </row>
    <row r="2583" spans="1:19" x14ac:dyDescent="0.35">
      <c r="A2583" s="81"/>
      <c r="B2583" s="17"/>
      <c r="C2583" s="17"/>
      <c r="D2583" s="17"/>
      <c r="E2583" s="17"/>
      <c r="F2583" s="17"/>
      <c r="G2583" s="17"/>
      <c r="H2583" s="17"/>
      <c r="I2583" s="17"/>
      <c r="J2583" s="17"/>
      <c r="K2583" s="17"/>
      <c r="L2583" s="17"/>
      <c r="M2583" s="17"/>
      <c r="N2583" s="17"/>
      <c r="O2583" s="17"/>
      <c r="P2583" s="17"/>
      <c r="Q2583" s="17"/>
      <c r="R2583" s="18"/>
    </row>
    <row r="2584" spans="1:19" x14ac:dyDescent="0.35">
      <c r="A2584" s="82"/>
      <c r="B2584" s="19"/>
      <c r="C2584" s="19"/>
      <c r="D2584" s="19"/>
      <c r="E2584" s="19"/>
      <c r="F2584" s="19"/>
      <c r="G2584" s="19"/>
      <c r="H2584" s="19"/>
      <c r="I2584" s="19"/>
      <c r="J2584" s="19"/>
      <c r="K2584" s="19"/>
      <c r="L2584" s="19"/>
      <c r="M2584" s="19"/>
      <c r="N2584" s="19"/>
      <c r="O2584" s="19"/>
      <c r="P2584" s="19"/>
      <c r="Q2584" s="19"/>
      <c r="R2584" s="20"/>
    </row>
    <row r="2585" spans="1:19" x14ac:dyDescent="0.35">
      <c r="A2585" s="81"/>
      <c r="B2585" s="17"/>
      <c r="C2585" s="17"/>
      <c r="D2585" s="17"/>
      <c r="E2585" s="17"/>
      <c r="F2585" s="17"/>
      <c r="G2585" s="17"/>
      <c r="H2585" s="17"/>
      <c r="I2585" s="17"/>
      <c r="J2585" s="17"/>
      <c r="K2585" s="17"/>
      <c r="L2585" s="17"/>
      <c r="M2585" s="17"/>
      <c r="N2585" s="17"/>
      <c r="O2585" s="17"/>
      <c r="P2585" s="17"/>
      <c r="Q2585" s="17"/>
      <c r="R2585" s="18"/>
      <c r="S2585" s="30"/>
    </row>
    <row r="2586" spans="1:19" x14ac:dyDescent="0.35">
      <c r="A2586" s="81"/>
      <c r="B2586" s="17"/>
      <c r="C2586" s="17"/>
      <c r="D2586" s="17"/>
      <c r="E2586" s="17"/>
      <c r="F2586" s="17"/>
      <c r="G2586" s="17"/>
      <c r="H2586" s="17"/>
      <c r="I2586" s="17"/>
      <c r="J2586" s="17"/>
      <c r="K2586" s="17"/>
      <c r="L2586" s="17"/>
      <c r="M2586" s="17"/>
      <c r="N2586" s="17"/>
      <c r="O2586" s="17"/>
      <c r="P2586" s="17"/>
      <c r="Q2586" s="17"/>
      <c r="R2586" s="18"/>
    </row>
    <row r="2587" spans="1:19" x14ac:dyDescent="0.35">
      <c r="A2587" s="81"/>
      <c r="B2587" s="17"/>
      <c r="C2587" s="17"/>
      <c r="D2587" s="17"/>
      <c r="E2587" s="17"/>
      <c r="F2587" s="17"/>
      <c r="G2587" s="17"/>
      <c r="H2587" s="17"/>
      <c r="I2587" s="17"/>
      <c r="J2587" s="17"/>
      <c r="K2587" s="17"/>
      <c r="L2587" s="19"/>
      <c r="M2587" s="19"/>
      <c r="N2587" s="19"/>
      <c r="O2587" s="19"/>
      <c r="P2587" s="17"/>
      <c r="Q2587" s="17"/>
      <c r="R2587" s="18"/>
    </row>
    <row r="2588" spans="1:19" x14ac:dyDescent="0.35">
      <c r="A2588" s="81"/>
      <c r="B2588" s="17"/>
      <c r="C2588" s="17"/>
      <c r="D2588" s="17"/>
      <c r="E2588" s="17"/>
      <c r="F2588" s="17"/>
      <c r="G2588" s="17"/>
      <c r="H2588" s="17"/>
      <c r="I2588" s="17"/>
      <c r="J2588" s="17"/>
      <c r="K2588" s="17"/>
      <c r="L2588" s="17"/>
      <c r="M2588" s="17"/>
      <c r="N2588" s="17"/>
      <c r="O2588" s="17"/>
      <c r="P2588" s="17"/>
      <c r="Q2588" s="17"/>
      <c r="R2588" s="18"/>
    </row>
    <row r="2589" spans="1:19" x14ac:dyDescent="0.35">
      <c r="A2589" s="81"/>
      <c r="B2589" s="17"/>
      <c r="C2589" s="17"/>
      <c r="D2589" s="17"/>
      <c r="E2589" s="17"/>
      <c r="F2589" s="17"/>
      <c r="G2589" s="17"/>
      <c r="H2589" s="17"/>
      <c r="I2589" s="17"/>
      <c r="J2589" s="17"/>
      <c r="K2589" s="17"/>
      <c r="L2589" s="17"/>
      <c r="M2589" s="17"/>
      <c r="N2589" s="17"/>
      <c r="O2589" s="17"/>
      <c r="P2589" s="17"/>
      <c r="Q2589" s="17"/>
      <c r="R2589" s="18"/>
    </row>
    <row r="2590" spans="1:19" x14ac:dyDescent="0.35">
      <c r="A2590" s="81"/>
      <c r="B2590" s="17"/>
      <c r="C2590" s="17"/>
      <c r="D2590" s="17"/>
      <c r="E2590" s="17"/>
      <c r="F2590" s="17"/>
      <c r="G2590" s="17"/>
      <c r="H2590" s="17"/>
      <c r="I2590" s="17"/>
      <c r="J2590" s="17"/>
      <c r="K2590" s="17"/>
      <c r="L2590" s="17"/>
      <c r="M2590" s="17"/>
      <c r="N2590" s="17"/>
      <c r="O2590" s="17"/>
      <c r="P2590" s="17"/>
      <c r="Q2590" s="17"/>
      <c r="R2590" s="18"/>
      <c r="S2590" s="30"/>
    </row>
    <row r="2591" spans="1:19" x14ac:dyDescent="0.35">
      <c r="A2591" s="81"/>
      <c r="B2591" s="17"/>
      <c r="C2591" s="17"/>
      <c r="D2591" s="17"/>
      <c r="E2591" s="17"/>
      <c r="F2591" s="17"/>
      <c r="G2591" s="17"/>
      <c r="H2591" s="17"/>
      <c r="I2591" s="17"/>
      <c r="J2591" s="17"/>
      <c r="K2591" s="17"/>
      <c r="L2591" s="17"/>
      <c r="M2591" s="17"/>
      <c r="N2591" s="17"/>
      <c r="O2591" s="19"/>
      <c r="P2591" s="17"/>
      <c r="Q2591" s="17"/>
      <c r="R2591" s="18"/>
    </row>
    <row r="2592" spans="1:19" x14ac:dyDescent="0.35">
      <c r="A2592" s="82"/>
      <c r="B2592" s="19"/>
      <c r="C2592" s="19"/>
      <c r="D2592" s="19"/>
      <c r="E2592" s="19"/>
      <c r="F2592" s="19"/>
      <c r="G2592" s="19"/>
      <c r="H2592" s="19"/>
      <c r="I2592" s="19"/>
      <c r="J2592" s="19"/>
      <c r="K2592" s="19"/>
      <c r="L2592" s="19"/>
      <c r="M2592" s="19"/>
      <c r="N2592" s="19"/>
      <c r="O2592" s="19"/>
      <c r="P2592" s="19"/>
      <c r="Q2592" s="19"/>
      <c r="R2592" s="20"/>
    </row>
    <row r="2593" spans="1:19" x14ac:dyDescent="0.35">
      <c r="A2593" s="82"/>
      <c r="B2593" s="19"/>
      <c r="C2593" s="19"/>
      <c r="D2593" s="19"/>
      <c r="E2593" s="19"/>
      <c r="F2593" s="19"/>
      <c r="G2593" s="19"/>
      <c r="H2593" s="19"/>
      <c r="I2593" s="19"/>
      <c r="J2593" s="19"/>
      <c r="K2593" s="19"/>
      <c r="L2593" s="19"/>
      <c r="M2593" s="19"/>
      <c r="N2593" s="19"/>
      <c r="O2593" s="19"/>
      <c r="P2593" s="19"/>
      <c r="Q2593" s="19"/>
      <c r="R2593" s="20"/>
    </row>
    <row r="2594" spans="1:19" x14ac:dyDescent="0.35">
      <c r="A2594" s="82"/>
      <c r="B2594" s="19"/>
      <c r="C2594" s="19"/>
      <c r="D2594" s="19"/>
      <c r="E2594" s="19"/>
      <c r="F2594" s="19"/>
      <c r="G2594" s="19"/>
      <c r="H2594" s="19"/>
      <c r="I2594" s="19"/>
      <c r="J2594" s="19"/>
      <c r="K2594" s="19"/>
      <c r="L2594" s="19"/>
      <c r="M2594" s="19"/>
      <c r="N2594" s="19"/>
      <c r="O2594" s="19"/>
      <c r="P2594" s="19"/>
      <c r="Q2594" s="19"/>
      <c r="R2594" s="20"/>
    </row>
    <row r="2595" spans="1:19" x14ac:dyDescent="0.35">
      <c r="A2595" s="82"/>
      <c r="B2595" s="19"/>
      <c r="C2595" s="19"/>
      <c r="D2595" s="19"/>
      <c r="E2595" s="19"/>
      <c r="F2595" s="19"/>
      <c r="G2595" s="19"/>
      <c r="H2595" s="19"/>
      <c r="I2595" s="19"/>
      <c r="J2595" s="19"/>
      <c r="K2595" s="19"/>
      <c r="L2595" s="19"/>
      <c r="M2595" s="19"/>
      <c r="N2595" s="19"/>
      <c r="O2595" s="19"/>
      <c r="P2595" s="19"/>
      <c r="Q2595" s="19"/>
      <c r="R2595" s="20"/>
    </row>
    <row r="2596" spans="1:19" x14ac:dyDescent="0.35">
      <c r="A2596" s="81"/>
      <c r="B2596" s="17"/>
      <c r="C2596" s="17"/>
      <c r="D2596" s="17"/>
      <c r="E2596" s="17"/>
      <c r="F2596" s="17"/>
      <c r="G2596" s="17"/>
      <c r="H2596" s="17"/>
      <c r="I2596" s="17"/>
      <c r="J2596" s="17"/>
      <c r="K2596" s="17"/>
      <c r="L2596" s="17"/>
      <c r="M2596" s="17"/>
      <c r="N2596" s="17"/>
      <c r="O2596" s="17"/>
      <c r="P2596" s="17"/>
      <c r="Q2596" s="17"/>
      <c r="R2596" s="18"/>
      <c r="S2596" s="30"/>
    </row>
    <row r="2597" spans="1:19" x14ac:dyDescent="0.35">
      <c r="A2597" s="81"/>
      <c r="B2597" s="17"/>
      <c r="C2597" s="17"/>
      <c r="D2597" s="17"/>
      <c r="E2597" s="17"/>
      <c r="F2597" s="17"/>
      <c r="G2597" s="17"/>
      <c r="H2597" s="17"/>
      <c r="I2597" s="17"/>
      <c r="J2597" s="17"/>
      <c r="K2597" s="17"/>
      <c r="L2597" s="17"/>
      <c r="M2597" s="17"/>
      <c r="N2597" s="17"/>
      <c r="O2597" s="17"/>
      <c r="P2597" s="17"/>
      <c r="Q2597" s="17"/>
      <c r="R2597" s="18"/>
    </row>
    <row r="2598" spans="1:19" x14ac:dyDescent="0.35">
      <c r="A2598" s="82"/>
      <c r="B2598" s="19"/>
      <c r="C2598" s="19"/>
      <c r="D2598" s="19"/>
      <c r="E2598" s="19"/>
      <c r="F2598" s="19"/>
      <c r="G2598" s="19"/>
      <c r="H2598" s="19"/>
      <c r="I2598" s="19"/>
      <c r="J2598" s="19"/>
      <c r="K2598" s="19"/>
      <c r="L2598" s="19"/>
      <c r="M2598" s="19"/>
      <c r="N2598" s="19"/>
      <c r="O2598" s="19"/>
      <c r="P2598" s="19"/>
      <c r="Q2598" s="19"/>
      <c r="R2598" s="20"/>
    </row>
    <row r="2599" spans="1:19" x14ac:dyDescent="0.35">
      <c r="A2599" s="82"/>
      <c r="B2599" s="19"/>
      <c r="C2599" s="19"/>
      <c r="D2599" s="19"/>
      <c r="E2599" s="19"/>
      <c r="F2599" s="19"/>
      <c r="G2599" s="19"/>
      <c r="H2599" s="19"/>
      <c r="I2599" s="19"/>
      <c r="J2599" s="19"/>
      <c r="K2599" s="19"/>
      <c r="L2599" s="19"/>
      <c r="M2599" s="19"/>
      <c r="N2599" s="19"/>
      <c r="O2599" s="19"/>
      <c r="P2599" s="19"/>
      <c r="Q2599" s="19"/>
      <c r="R2599" s="20"/>
    </row>
    <row r="2600" spans="1:19" x14ac:dyDescent="0.35">
      <c r="A2600" s="81"/>
      <c r="B2600" s="17"/>
      <c r="C2600" s="17"/>
      <c r="D2600" s="17"/>
      <c r="E2600" s="17"/>
      <c r="F2600" s="17"/>
      <c r="G2600" s="17"/>
      <c r="H2600" s="17"/>
      <c r="I2600" s="17"/>
      <c r="J2600" s="17"/>
      <c r="K2600" s="17"/>
      <c r="L2600" s="17"/>
      <c r="M2600" s="17"/>
      <c r="N2600" s="17"/>
      <c r="O2600" s="17"/>
      <c r="P2600" s="17"/>
      <c r="Q2600" s="17"/>
      <c r="R2600" s="18"/>
    </row>
    <row r="2601" spans="1:19" x14ac:dyDescent="0.35">
      <c r="A2601" s="81"/>
      <c r="B2601" s="17"/>
      <c r="C2601" s="17"/>
      <c r="D2601" s="17"/>
      <c r="E2601" s="17"/>
      <c r="F2601" s="17"/>
      <c r="G2601" s="17"/>
      <c r="H2601" s="17"/>
      <c r="I2601" s="17"/>
      <c r="J2601" s="17"/>
      <c r="K2601" s="17"/>
      <c r="L2601" s="17"/>
      <c r="M2601" s="17"/>
      <c r="N2601" s="17"/>
      <c r="O2601" s="17"/>
      <c r="P2601" s="17"/>
      <c r="Q2601" s="17"/>
      <c r="R2601" s="18"/>
    </row>
    <row r="2602" spans="1:19" x14ac:dyDescent="0.35">
      <c r="A2602" s="82"/>
      <c r="B2602" s="19"/>
      <c r="C2602" s="19"/>
      <c r="D2602" s="19"/>
      <c r="E2602" s="19"/>
      <c r="F2602" s="19"/>
      <c r="G2602" s="19"/>
      <c r="H2602" s="19"/>
      <c r="I2602" s="19"/>
      <c r="J2602" s="19"/>
      <c r="K2602" s="19"/>
      <c r="L2602" s="19"/>
      <c r="M2602" s="19"/>
      <c r="N2602" s="19"/>
      <c r="O2602" s="19"/>
      <c r="P2602" s="19"/>
      <c r="Q2602" s="19"/>
      <c r="R2602" s="20"/>
    </row>
    <row r="2603" spans="1:19" x14ac:dyDescent="0.35">
      <c r="A2603" s="82"/>
      <c r="B2603" s="19"/>
      <c r="C2603" s="19"/>
      <c r="D2603" s="19"/>
      <c r="E2603" s="19"/>
      <c r="F2603" s="19"/>
      <c r="G2603" s="19"/>
      <c r="H2603" s="19"/>
      <c r="I2603" s="19"/>
      <c r="J2603" s="19"/>
      <c r="K2603" s="19"/>
      <c r="L2603" s="19"/>
      <c r="M2603" s="19"/>
      <c r="N2603" s="19"/>
      <c r="O2603" s="19"/>
      <c r="P2603" s="19"/>
      <c r="Q2603" s="19"/>
      <c r="R2603" s="20"/>
    </row>
    <row r="2604" spans="1:19" x14ac:dyDescent="0.35">
      <c r="A2604" s="81"/>
      <c r="B2604" s="17"/>
      <c r="C2604" s="17"/>
      <c r="D2604" s="17"/>
      <c r="E2604" s="17"/>
      <c r="F2604" s="17"/>
      <c r="G2604" s="17"/>
      <c r="H2604" s="17"/>
      <c r="I2604" s="17"/>
      <c r="J2604" s="17"/>
      <c r="K2604" s="17"/>
      <c r="L2604" s="17"/>
      <c r="M2604" s="17"/>
      <c r="N2604" s="17"/>
      <c r="O2604" s="17"/>
      <c r="P2604" s="17"/>
      <c r="Q2604" s="17"/>
      <c r="R2604" s="18"/>
    </row>
    <row r="2605" spans="1:19" x14ac:dyDescent="0.35">
      <c r="A2605" s="82"/>
      <c r="B2605" s="19"/>
      <c r="C2605" s="19"/>
      <c r="D2605" s="19"/>
      <c r="E2605" s="19"/>
      <c r="F2605" s="19"/>
      <c r="G2605" s="19"/>
      <c r="H2605" s="19"/>
      <c r="I2605" s="19"/>
      <c r="J2605" s="19"/>
      <c r="K2605" s="19"/>
      <c r="L2605" s="19"/>
      <c r="M2605" s="19"/>
      <c r="N2605" s="19"/>
      <c r="O2605" s="19"/>
      <c r="P2605" s="19"/>
      <c r="Q2605" s="19"/>
      <c r="R2605" s="20"/>
    </row>
    <row r="2606" spans="1:19" x14ac:dyDescent="0.35">
      <c r="A2606" s="82"/>
      <c r="B2606" s="19"/>
      <c r="C2606" s="19"/>
      <c r="D2606" s="19"/>
      <c r="E2606" s="19"/>
      <c r="F2606" s="19"/>
      <c r="G2606" s="19"/>
      <c r="H2606" s="19"/>
      <c r="I2606" s="19"/>
      <c r="J2606" s="19"/>
      <c r="K2606" s="19"/>
      <c r="L2606" s="19"/>
      <c r="M2606" s="19"/>
      <c r="N2606" s="19"/>
      <c r="O2606" s="19"/>
      <c r="P2606" s="19"/>
      <c r="Q2606" s="19"/>
      <c r="R2606" s="20"/>
    </row>
    <row r="2607" spans="1:19" x14ac:dyDescent="0.35">
      <c r="A2607" s="82"/>
      <c r="B2607" s="19"/>
      <c r="C2607" s="19"/>
      <c r="D2607" s="19"/>
      <c r="E2607" s="19"/>
      <c r="F2607" s="19"/>
      <c r="G2607" s="19"/>
      <c r="H2607" s="19"/>
      <c r="I2607" s="19"/>
      <c r="J2607" s="19"/>
      <c r="K2607" s="19"/>
      <c r="L2607" s="19"/>
      <c r="M2607" s="19"/>
      <c r="N2607" s="19"/>
      <c r="O2607" s="19"/>
      <c r="P2607" s="19"/>
      <c r="Q2607" s="19"/>
      <c r="R2607" s="20"/>
    </row>
    <row r="2608" spans="1:19" x14ac:dyDescent="0.35">
      <c r="A2608" s="82"/>
      <c r="B2608" s="19"/>
      <c r="C2608" s="19"/>
      <c r="D2608" s="19"/>
      <c r="E2608" s="19"/>
      <c r="F2608" s="19"/>
      <c r="G2608" s="19"/>
      <c r="H2608" s="19"/>
      <c r="I2608" s="19"/>
      <c r="J2608" s="19"/>
      <c r="K2608" s="19"/>
      <c r="L2608" s="19"/>
      <c r="M2608" s="19"/>
      <c r="N2608" s="19"/>
      <c r="O2608" s="19"/>
      <c r="P2608" s="19"/>
      <c r="Q2608" s="19"/>
      <c r="R2608" s="20"/>
    </row>
    <row r="2609" spans="1:19" x14ac:dyDescent="0.35">
      <c r="A2609" s="82"/>
      <c r="B2609" s="19"/>
      <c r="C2609" s="19"/>
      <c r="D2609" s="19"/>
      <c r="E2609" s="19"/>
      <c r="F2609" s="19"/>
      <c r="G2609" s="19"/>
      <c r="H2609" s="19"/>
      <c r="I2609" s="19"/>
      <c r="J2609" s="19"/>
      <c r="K2609" s="19"/>
      <c r="L2609" s="19"/>
      <c r="M2609" s="19"/>
      <c r="N2609" s="19"/>
      <c r="O2609" s="19"/>
      <c r="P2609" s="19"/>
      <c r="Q2609" s="19"/>
      <c r="R2609" s="20"/>
    </row>
    <row r="2610" spans="1:19" x14ac:dyDescent="0.35">
      <c r="A2610" s="81"/>
      <c r="B2610" s="17"/>
      <c r="C2610" s="17"/>
      <c r="D2610" s="17"/>
      <c r="E2610" s="17"/>
      <c r="F2610" s="17"/>
      <c r="G2610" s="17"/>
      <c r="H2610" s="17"/>
      <c r="I2610" s="17"/>
      <c r="J2610" s="17"/>
      <c r="K2610" s="17"/>
      <c r="L2610" s="17"/>
      <c r="M2610" s="17"/>
      <c r="N2610" s="17"/>
      <c r="O2610" s="17"/>
      <c r="P2610" s="17"/>
      <c r="Q2610" s="17"/>
      <c r="R2610" s="18"/>
    </row>
    <row r="2611" spans="1:19" x14ac:dyDescent="0.35">
      <c r="A2611" s="81"/>
      <c r="B2611" s="17"/>
      <c r="C2611" s="17"/>
      <c r="D2611" s="17"/>
      <c r="E2611" s="17"/>
      <c r="F2611" s="17"/>
      <c r="G2611" s="17"/>
      <c r="H2611" s="17"/>
      <c r="I2611" s="17"/>
      <c r="J2611" s="17"/>
      <c r="K2611" s="17"/>
      <c r="L2611" s="17"/>
      <c r="M2611" s="17"/>
      <c r="N2611" s="17"/>
      <c r="O2611" s="17"/>
      <c r="P2611" s="17"/>
      <c r="Q2611" s="17"/>
      <c r="R2611" s="18"/>
    </row>
    <row r="2612" spans="1:19" x14ac:dyDescent="0.35">
      <c r="A2612" s="82"/>
      <c r="B2612" s="19"/>
      <c r="C2612" s="19"/>
      <c r="D2612" s="19"/>
      <c r="E2612" s="19"/>
      <c r="F2612" s="19"/>
      <c r="G2612" s="19"/>
      <c r="H2612" s="19"/>
      <c r="I2612" s="19"/>
      <c r="J2612" s="19"/>
      <c r="K2612" s="19"/>
      <c r="L2612" s="19"/>
      <c r="M2612" s="19"/>
      <c r="N2612" s="19"/>
      <c r="O2612" s="19"/>
      <c r="P2612" s="19"/>
      <c r="Q2612" s="19"/>
      <c r="R2612" s="20"/>
    </row>
    <row r="2613" spans="1:19" x14ac:dyDescent="0.35">
      <c r="A2613" s="82"/>
      <c r="B2613" s="19"/>
      <c r="C2613" s="19"/>
      <c r="D2613" s="19"/>
      <c r="E2613" s="19"/>
      <c r="F2613" s="19"/>
      <c r="G2613" s="19"/>
      <c r="H2613" s="19"/>
      <c r="I2613" s="19"/>
      <c r="J2613" s="19"/>
      <c r="K2613" s="19"/>
      <c r="L2613" s="19"/>
      <c r="M2613" s="19"/>
      <c r="N2613" s="19"/>
      <c r="O2613" s="19"/>
      <c r="P2613" s="19"/>
      <c r="Q2613" s="19"/>
      <c r="R2613" s="20"/>
    </row>
    <row r="2614" spans="1:19" x14ac:dyDescent="0.35">
      <c r="A2614" s="82"/>
      <c r="B2614" s="19"/>
      <c r="C2614" s="19"/>
      <c r="D2614" s="19"/>
      <c r="E2614" s="19"/>
      <c r="F2614" s="19"/>
      <c r="G2614" s="19"/>
      <c r="H2614" s="19"/>
      <c r="I2614" s="19"/>
      <c r="J2614" s="19"/>
      <c r="K2614" s="19"/>
      <c r="L2614" s="19"/>
      <c r="M2614" s="19"/>
      <c r="N2614" s="19"/>
      <c r="O2614" s="19"/>
      <c r="P2614" s="19"/>
      <c r="Q2614" s="19"/>
      <c r="R2614" s="20"/>
    </row>
    <row r="2615" spans="1:19" x14ac:dyDescent="0.35">
      <c r="A2615" s="82"/>
      <c r="B2615" s="19"/>
      <c r="C2615" s="19"/>
      <c r="D2615" s="19"/>
      <c r="E2615" s="19"/>
      <c r="F2615" s="19"/>
      <c r="G2615" s="19"/>
      <c r="H2615" s="19"/>
      <c r="I2615" s="19"/>
      <c r="J2615" s="19"/>
      <c r="K2615" s="19"/>
      <c r="L2615" s="19"/>
      <c r="M2615" s="19"/>
      <c r="N2615" s="19"/>
      <c r="O2615" s="19"/>
      <c r="P2615" s="19"/>
      <c r="Q2615" s="19"/>
      <c r="R2615" s="20"/>
    </row>
    <row r="2616" spans="1:19" x14ac:dyDescent="0.35">
      <c r="A2616" s="82"/>
      <c r="B2616" s="19"/>
      <c r="C2616" s="19"/>
      <c r="D2616" s="19"/>
      <c r="E2616" s="19"/>
      <c r="F2616" s="19"/>
      <c r="G2616" s="19"/>
      <c r="H2616" s="19"/>
      <c r="I2616" s="19"/>
      <c r="J2616" s="19"/>
      <c r="K2616" s="19"/>
      <c r="L2616" s="19"/>
      <c r="M2616" s="19"/>
      <c r="N2616" s="19"/>
      <c r="O2616" s="19"/>
      <c r="P2616" s="19"/>
      <c r="Q2616" s="19"/>
      <c r="R2616" s="20"/>
    </row>
    <row r="2617" spans="1:19" x14ac:dyDescent="0.35">
      <c r="A2617" s="82"/>
      <c r="B2617" s="19"/>
      <c r="C2617" s="19"/>
      <c r="D2617" s="19"/>
      <c r="E2617" s="19"/>
      <c r="F2617" s="19"/>
      <c r="G2617" s="19"/>
      <c r="H2617" s="19"/>
      <c r="I2617" s="19"/>
      <c r="J2617" s="19"/>
      <c r="K2617" s="19"/>
      <c r="L2617" s="19"/>
      <c r="M2617" s="19"/>
      <c r="N2617" s="19"/>
      <c r="O2617" s="19"/>
      <c r="P2617" s="19"/>
      <c r="Q2617" s="19"/>
      <c r="R2617" s="20"/>
      <c r="S2617" s="30"/>
    </row>
    <row r="2618" spans="1:19" x14ac:dyDescent="0.35">
      <c r="A2618" s="82"/>
      <c r="B2618" s="19"/>
      <c r="C2618" s="19"/>
      <c r="D2618" s="19"/>
      <c r="E2618" s="19"/>
      <c r="F2618" s="19"/>
      <c r="G2618" s="19"/>
      <c r="H2618" s="19"/>
      <c r="I2618" s="19"/>
      <c r="J2618" s="19"/>
      <c r="K2618" s="19"/>
      <c r="L2618" s="19"/>
      <c r="M2618" s="19"/>
      <c r="N2618" s="19"/>
      <c r="O2618" s="19"/>
      <c r="P2618" s="19"/>
      <c r="Q2618" s="19"/>
      <c r="R2618" s="20"/>
    </row>
    <row r="2619" spans="1:19" x14ac:dyDescent="0.35">
      <c r="A2619" s="81"/>
      <c r="B2619" s="17"/>
      <c r="C2619" s="17"/>
      <c r="D2619" s="17"/>
      <c r="E2619" s="17"/>
      <c r="F2619" s="17"/>
      <c r="G2619" s="17"/>
      <c r="H2619" s="17"/>
      <c r="I2619" s="17"/>
      <c r="J2619" s="17"/>
      <c r="K2619" s="17"/>
      <c r="L2619" s="17"/>
      <c r="M2619" s="17"/>
      <c r="N2619" s="17"/>
      <c r="O2619" s="17"/>
      <c r="P2619" s="17"/>
      <c r="Q2619" s="17"/>
      <c r="R2619" s="18"/>
    </row>
    <row r="2620" spans="1:19" x14ac:dyDescent="0.35">
      <c r="A2620" s="82"/>
      <c r="B2620" s="19"/>
      <c r="C2620" s="19"/>
      <c r="D2620" s="19"/>
      <c r="E2620" s="19"/>
      <c r="F2620" s="19"/>
      <c r="G2620" s="19"/>
      <c r="H2620" s="19"/>
      <c r="I2620" s="19"/>
      <c r="J2620" s="19"/>
      <c r="K2620" s="19"/>
      <c r="L2620" s="19"/>
      <c r="M2620" s="19"/>
      <c r="N2620" s="19"/>
      <c r="O2620" s="19"/>
      <c r="P2620" s="19"/>
      <c r="Q2620" s="19"/>
      <c r="R2620" s="20"/>
    </row>
    <row r="2621" spans="1:19" x14ac:dyDescent="0.35">
      <c r="A2621" s="82"/>
      <c r="B2621" s="19"/>
      <c r="C2621" s="19"/>
      <c r="D2621" s="19"/>
      <c r="E2621" s="19"/>
      <c r="F2621" s="19"/>
      <c r="G2621" s="19"/>
      <c r="H2621" s="19"/>
      <c r="I2621" s="19"/>
      <c r="J2621" s="19"/>
      <c r="K2621" s="19"/>
      <c r="L2621" s="19"/>
      <c r="M2621" s="19"/>
      <c r="N2621" s="19"/>
      <c r="O2621" s="19"/>
      <c r="P2621" s="19"/>
      <c r="Q2621" s="19"/>
      <c r="R2621" s="20"/>
    </row>
    <row r="2622" spans="1:19" x14ac:dyDescent="0.35">
      <c r="A2622" s="81"/>
      <c r="B2622" s="17"/>
      <c r="C2622" s="17"/>
      <c r="D2622" s="17"/>
      <c r="E2622" s="17"/>
      <c r="F2622" s="17"/>
      <c r="G2622" s="17"/>
      <c r="H2622" s="17"/>
      <c r="I2622" s="17"/>
      <c r="J2622" s="17"/>
      <c r="K2622" s="17"/>
      <c r="L2622" s="17"/>
      <c r="M2622" s="17"/>
      <c r="N2622" s="17"/>
      <c r="O2622" s="17"/>
      <c r="P2622" s="17"/>
      <c r="Q2622" s="17"/>
      <c r="R2622" s="18"/>
    </row>
    <row r="2623" spans="1:19" x14ac:dyDescent="0.35">
      <c r="A2623" s="81"/>
      <c r="B2623" s="17"/>
      <c r="C2623" s="17"/>
      <c r="D2623" s="17"/>
      <c r="E2623" s="17"/>
      <c r="F2623" s="17"/>
      <c r="G2623" s="17"/>
      <c r="H2623" s="17"/>
      <c r="I2623" s="17"/>
      <c r="J2623" s="17"/>
      <c r="K2623" s="17"/>
      <c r="L2623" s="17"/>
      <c r="M2623" s="17"/>
      <c r="N2623" s="17"/>
      <c r="O2623" s="17"/>
      <c r="P2623" s="17"/>
      <c r="Q2623" s="17"/>
      <c r="R2623" s="18"/>
    </row>
    <row r="2624" spans="1:19" x14ac:dyDescent="0.35">
      <c r="A2624" s="81"/>
      <c r="B2624" s="17"/>
      <c r="C2624" s="17"/>
      <c r="D2624" s="17"/>
      <c r="E2624" s="17"/>
      <c r="F2624" s="17"/>
      <c r="G2624" s="17"/>
      <c r="H2624" s="17"/>
      <c r="I2624" s="17"/>
      <c r="J2624" s="17"/>
      <c r="K2624" s="17"/>
      <c r="L2624" s="17"/>
      <c r="M2624" s="17"/>
      <c r="N2624" s="17"/>
      <c r="O2624" s="17"/>
      <c r="P2624" s="17"/>
      <c r="Q2624" s="17"/>
      <c r="R2624" s="18"/>
    </row>
    <row r="2625" spans="1:19" x14ac:dyDescent="0.35">
      <c r="A2625" s="81"/>
      <c r="B2625" s="17"/>
      <c r="C2625" s="17"/>
      <c r="D2625" s="17"/>
      <c r="E2625" s="17"/>
      <c r="F2625" s="17"/>
      <c r="G2625" s="17"/>
      <c r="H2625" s="17"/>
      <c r="I2625" s="17"/>
      <c r="J2625" s="17"/>
      <c r="K2625" s="17"/>
      <c r="L2625" s="17"/>
      <c r="M2625" s="17"/>
      <c r="N2625" s="17"/>
      <c r="O2625" s="17"/>
      <c r="P2625" s="17"/>
      <c r="Q2625" s="17"/>
      <c r="R2625" s="18"/>
      <c r="S2625" s="30"/>
    </row>
    <row r="2626" spans="1:19" x14ac:dyDescent="0.35">
      <c r="A2626" s="82"/>
      <c r="B2626" s="19"/>
      <c r="C2626" s="19"/>
      <c r="D2626" s="19"/>
      <c r="E2626" s="19"/>
      <c r="F2626" s="19"/>
      <c r="G2626" s="19"/>
      <c r="H2626" s="19"/>
      <c r="I2626" s="19"/>
      <c r="J2626" s="19"/>
      <c r="K2626" s="19"/>
      <c r="L2626" s="19"/>
      <c r="M2626" s="19"/>
      <c r="N2626" s="19"/>
      <c r="O2626" s="19"/>
      <c r="P2626" s="19"/>
      <c r="Q2626" s="19"/>
      <c r="R2626" s="20"/>
    </row>
    <row r="2627" spans="1:19" x14ac:dyDescent="0.35">
      <c r="A2627" s="82"/>
      <c r="B2627" s="19"/>
      <c r="C2627" s="19"/>
      <c r="D2627" s="19"/>
      <c r="E2627" s="19"/>
      <c r="F2627" s="19"/>
      <c r="G2627" s="19"/>
      <c r="H2627" s="19"/>
      <c r="I2627" s="19"/>
      <c r="J2627" s="19"/>
      <c r="K2627" s="19"/>
      <c r="L2627" s="19"/>
      <c r="M2627" s="19"/>
      <c r="N2627" s="19"/>
      <c r="O2627" s="19"/>
      <c r="P2627" s="19"/>
      <c r="Q2627" s="19"/>
      <c r="R2627" s="20"/>
    </row>
    <row r="2628" spans="1:19" x14ac:dyDescent="0.35">
      <c r="A2628" s="81"/>
      <c r="B2628" s="17"/>
      <c r="C2628" s="17"/>
      <c r="D2628" s="17"/>
      <c r="E2628" s="17"/>
      <c r="F2628" s="17"/>
      <c r="G2628" s="17"/>
      <c r="H2628" s="17"/>
      <c r="I2628" s="17"/>
      <c r="J2628" s="17"/>
      <c r="K2628" s="17"/>
      <c r="L2628" s="17"/>
      <c r="M2628" s="17"/>
      <c r="N2628" s="17"/>
      <c r="O2628" s="17"/>
      <c r="P2628" s="17"/>
      <c r="Q2628" s="17"/>
      <c r="R2628" s="18"/>
    </row>
    <row r="2629" spans="1:19" x14ac:dyDescent="0.35">
      <c r="A2629" s="81"/>
      <c r="B2629" s="17"/>
      <c r="C2629" s="17"/>
      <c r="D2629" s="17"/>
      <c r="E2629" s="17"/>
      <c r="F2629" s="17"/>
      <c r="G2629" s="17"/>
      <c r="H2629" s="17"/>
      <c r="I2629" s="17"/>
      <c r="J2629" s="17"/>
      <c r="K2629" s="17"/>
      <c r="L2629" s="19"/>
      <c r="M2629" s="19"/>
      <c r="N2629" s="19"/>
      <c r="O2629" s="17"/>
      <c r="P2629" s="17"/>
      <c r="Q2629" s="17"/>
      <c r="R2629" s="18"/>
    </row>
    <row r="2630" spans="1:19" x14ac:dyDescent="0.35">
      <c r="A2630" s="82"/>
      <c r="B2630" s="19"/>
      <c r="C2630" s="19"/>
      <c r="D2630" s="19"/>
      <c r="E2630" s="19"/>
      <c r="F2630" s="19"/>
      <c r="G2630" s="19"/>
      <c r="H2630" s="19"/>
      <c r="I2630" s="19"/>
      <c r="J2630" s="19"/>
      <c r="K2630" s="19"/>
      <c r="L2630" s="19"/>
      <c r="M2630" s="19"/>
      <c r="N2630" s="19"/>
      <c r="O2630" s="19"/>
      <c r="P2630" s="19"/>
      <c r="Q2630" s="19"/>
      <c r="R2630" s="20"/>
    </row>
    <row r="2631" spans="1:19" x14ac:dyDescent="0.35">
      <c r="A2631" s="82"/>
      <c r="B2631" s="19"/>
      <c r="C2631" s="19"/>
      <c r="D2631" s="19"/>
      <c r="E2631" s="19"/>
      <c r="F2631" s="19"/>
      <c r="G2631" s="19"/>
      <c r="H2631" s="19"/>
      <c r="I2631" s="19"/>
      <c r="J2631" s="19"/>
      <c r="K2631" s="19"/>
      <c r="L2631" s="19"/>
      <c r="M2631" s="19"/>
      <c r="N2631" s="19"/>
      <c r="O2631" s="19"/>
      <c r="P2631" s="19"/>
      <c r="Q2631" s="19"/>
      <c r="R2631" s="20"/>
    </row>
    <row r="2632" spans="1:19" x14ac:dyDescent="0.35">
      <c r="A2632" s="81"/>
      <c r="B2632" s="17"/>
      <c r="C2632" s="17"/>
      <c r="D2632" s="17"/>
      <c r="E2632" s="17"/>
      <c r="F2632" s="17"/>
      <c r="G2632" s="17"/>
      <c r="H2632" s="17"/>
      <c r="I2632" s="17"/>
      <c r="J2632" s="17"/>
      <c r="K2632" s="17"/>
      <c r="L2632" s="17"/>
      <c r="M2632" s="17"/>
      <c r="N2632" s="17"/>
      <c r="O2632" s="17"/>
      <c r="P2632" s="17"/>
      <c r="Q2632" s="17"/>
      <c r="R2632" s="18"/>
      <c r="S2632" s="30"/>
    </row>
    <row r="2633" spans="1:19" x14ac:dyDescent="0.35">
      <c r="A2633" s="81"/>
      <c r="B2633" s="17"/>
      <c r="C2633" s="17"/>
      <c r="D2633" s="17"/>
      <c r="E2633" s="17"/>
      <c r="F2633" s="17"/>
      <c r="G2633" s="17"/>
      <c r="H2633" s="17"/>
      <c r="I2633" s="17"/>
      <c r="J2633" s="17"/>
      <c r="K2633" s="17"/>
      <c r="L2633" s="17"/>
      <c r="M2633" s="17"/>
      <c r="N2633" s="17"/>
      <c r="O2633" s="19"/>
      <c r="P2633" s="17"/>
      <c r="Q2633" s="17"/>
      <c r="R2633" s="18"/>
    </row>
    <row r="2634" spans="1:19" x14ac:dyDescent="0.35">
      <c r="A2634" s="82"/>
      <c r="B2634" s="19"/>
      <c r="C2634" s="19"/>
      <c r="D2634" s="19"/>
      <c r="E2634" s="19"/>
      <c r="F2634" s="19"/>
      <c r="G2634" s="19"/>
      <c r="H2634" s="19"/>
      <c r="I2634" s="19"/>
      <c r="J2634" s="19"/>
      <c r="K2634" s="19"/>
      <c r="L2634" s="19"/>
      <c r="M2634" s="19"/>
      <c r="N2634" s="19"/>
      <c r="O2634" s="19"/>
      <c r="P2634" s="19"/>
      <c r="Q2634" s="19"/>
      <c r="R2634" s="20"/>
    </row>
    <row r="2635" spans="1:19" x14ac:dyDescent="0.35">
      <c r="A2635" s="82"/>
      <c r="B2635" s="19"/>
      <c r="C2635" s="19"/>
      <c r="D2635" s="19"/>
      <c r="E2635" s="19"/>
      <c r="F2635" s="19"/>
      <c r="G2635" s="19"/>
      <c r="H2635" s="19"/>
      <c r="I2635" s="19"/>
      <c r="J2635" s="19"/>
      <c r="K2635" s="19"/>
      <c r="L2635" s="19"/>
      <c r="M2635" s="19"/>
      <c r="N2635" s="19"/>
      <c r="O2635" s="19"/>
      <c r="P2635" s="19"/>
      <c r="Q2635" s="19"/>
      <c r="R2635" s="20"/>
    </row>
    <row r="2636" spans="1:19" x14ac:dyDescent="0.35">
      <c r="A2636" s="82"/>
      <c r="B2636" s="19"/>
      <c r="C2636" s="19"/>
      <c r="D2636" s="19"/>
      <c r="E2636" s="19"/>
      <c r="F2636" s="19"/>
      <c r="G2636" s="19"/>
      <c r="H2636" s="19"/>
      <c r="I2636" s="19"/>
      <c r="J2636" s="19"/>
      <c r="K2636" s="19"/>
      <c r="L2636" s="19"/>
      <c r="M2636" s="19"/>
      <c r="N2636" s="19"/>
      <c r="O2636" s="19"/>
      <c r="P2636" s="19"/>
      <c r="Q2636" s="19"/>
      <c r="R2636" s="20"/>
    </row>
    <row r="2637" spans="1:19" x14ac:dyDescent="0.35">
      <c r="A2637" s="82"/>
      <c r="B2637" s="19"/>
      <c r="C2637" s="19"/>
      <c r="D2637" s="19"/>
      <c r="E2637" s="19"/>
      <c r="F2637" s="19"/>
      <c r="G2637" s="19"/>
      <c r="H2637" s="19"/>
      <c r="I2637" s="19"/>
      <c r="J2637" s="19"/>
      <c r="K2637" s="19"/>
      <c r="L2637" s="19"/>
      <c r="M2637" s="19"/>
      <c r="N2637" s="19"/>
      <c r="O2637" s="19"/>
      <c r="P2637" s="19"/>
      <c r="Q2637" s="19"/>
      <c r="R2637" s="20"/>
    </row>
    <row r="2638" spans="1:19" x14ac:dyDescent="0.35">
      <c r="A2638" s="82"/>
      <c r="B2638" s="19"/>
      <c r="C2638" s="19"/>
      <c r="D2638" s="19"/>
      <c r="E2638" s="19"/>
      <c r="F2638" s="19"/>
      <c r="G2638" s="19"/>
      <c r="H2638" s="19"/>
      <c r="I2638" s="19"/>
      <c r="J2638" s="19"/>
      <c r="K2638" s="19"/>
      <c r="L2638" s="19"/>
      <c r="M2638" s="19"/>
      <c r="N2638" s="19"/>
      <c r="O2638" s="19"/>
      <c r="P2638" s="19"/>
      <c r="Q2638" s="19"/>
      <c r="R2638" s="20"/>
    </row>
    <row r="2639" spans="1:19" x14ac:dyDescent="0.35">
      <c r="A2639" s="81"/>
      <c r="B2639" s="17"/>
      <c r="C2639" s="17"/>
      <c r="D2639" s="17"/>
      <c r="E2639" s="17"/>
      <c r="F2639" s="17"/>
      <c r="G2639" s="17"/>
      <c r="H2639" s="17"/>
      <c r="I2639" s="17"/>
      <c r="J2639" s="17"/>
      <c r="K2639" s="17"/>
      <c r="L2639" s="17"/>
      <c r="M2639" s="17"/>
      <c r="N2639" s="17"/>
      <c r="O2639" s="17"/>
      <c r="P2639" s="17"/>
      <c r="Q2639" s="17"/>
      <c r="R2639" s="18"/>
    </row>
    <row r="2640" spans="1:19" x14ac:dyDescent="0.35">
      <c r="A2640" s="82"/>
      <c r="B2640" s="19"/>
      <c r="C2640" s="19"/>
      <c r="D2640" s="19"/>
      <c r="E2640" s="19"/>
      <c r="F2640" s="19"/>
      <c r="G2640" s="19"/>
      <c r="H2640" s="19"/>
      <c r="I2640" s="19"/>
      <c r="J2640" s="19"/>
      <c r="K2640" s="19"/>
      <c r="L2640" s="19"/>
      <c r="M2640" s="19"/>
      <c r="N2640" s="19"/>
      <c r="O2640" s="19"/>
      <c r="P2640" s="19"/>
      <c r="Q2640" s="19"/>
      <c r="R2640" s="20"/>
    </row>
    <row r="2641" spans="1:19" x14ac:dyDescent="0.35">
      <c r="A2641" s="82"/>
      <c r="B2641" s="19"/>
      <c r="C2641" s="19"/>
      <c r="D2641" s="19"/>
      <c r="E2641" s="19"/>
      <c r="F2641" s="19"/>
      <c r="G2641" s="19"/>
      <c r="H2641" s="19"/>
      <c r="I2641" s="19"/>
      <c r="J2641" s="19"/>
      <c r="K2641" s="19"/>
      <c r="L2641" s="19"/>
      <c r="M2641" s="19"/>
      <c r="N2641" s="19"/>
      <c r="O2641" s="19"/>
      <c r="P2641" s="19"/>
      <c r="Q2641" s="19"/>
      <c r="R2641" s="20"/>
    </row>
    <row r="2642" spans="1:19" x14ac:dyDescent="0.35">
      <c r="A2642" s="81"/>
      <c r="B2642" s="17"/>
      <c r="C2642" s="17"/>
      <c r="D2642" s="17"/>
      <c r="E2642" s="17"/>
      <c r="F2642" s="17"/>
      <c r="G2642" s="17"/>
      <c r="H2642" s="17"/>
      <c r="I2642" s="17"/>
      <c r="J2642" s="17"/>
      <c r="K2642" s="17"/>
      <c r="L2642" s="17"/>
      <c r="M2642" s="17"/>
      <c r="N2642" s="17"/>
      <c r="O2642" s="17"/>
      <c r="P2642" s="17"/>
      <c r="Q2642" s="17"/>
      <c r="R2642" s="18"/>
    </row>
    <row r="2643" spans="1:19" x14ac:dyDescent="0.35">
      <c r="A2643" s="82"/>
      <c r="B2643" s="19"/>
      <c r="C2643" s="19"/>
      <c r="D2643" s="19"/>
      <c r="E2643" s="19"/>
      <c r="F2643" s="19"/>
      <c r="G2643" s="19"/>
      <c r="H2643" s="19"/>
      <c r="I2643" s="19"/>
      <c r="J2643" s="19"/>
      <c r="K2643" s="19"/>
      <c r="L2643" s="19"/>
      <c r="M2643" s="19"/>
      <c r="N2643" s="19"/>
      <c r="O2643" s="19"/>
      <c r="P2643" s="19"/>
      <c r="Q2643" s="19"/>
      <c r="R2643" s="20"/>
    </row>
    <row r="2644" spans="1:19" x14ac:dyDescent="0.35">
      <c r="A2644" s="82"/>
      <c r="B2644" s="19"/>
      <c r="C2644" s="19"/>
      <c r="D2644" s="19"/>
      <c r="E2644" s="19"/>
      <c r="F2644" s="19"/>
      <c r="G2644" s="19"/>
      <c r="H2644" s="19"/>
      <c r="I2644" s="19"/>
      <c r="J2644" s="19"/>
      <c r="K2644" s="19"/>
      <c r="L2644" s="19"/>
      <c r="M2644" s="19"/>
      <c r="N2644" s="19"/>
      <c r="O2644" s="19"/>
      <c r="P2644" s="19"/>
      <c r="Q2644" s="19"/>
      <c r="R2644" s="20"/>
    </row>
    <row r="2645" spans="1:19" x14ac:dyDescent="0.35">
      <c r="A2645" s="81"/>
      <c r="B2645" s="17"/>
      <c r="C2645" s="17"/>
      <c r="D2645" s="17"/>
      <c r="E2645" s="17"/>
      <c r="F2645" s="17"/>
      <c r="G2645" s="17"/>
      <c r="H2645" s="17"/>
      <c r="I2645" s="17"/>
      <c r="J2645" s="17"/>
      <c r="K2645" s="17"/>
      <c r="L2645" s="17"/>
      <c r="M2645" s="17"/>
      <c r="N2645" s="17"/>
      <c r="O2645" s="17"/>
      <c r="P2645" s="17"/>
      <c r="Q2645" s="17"/>
      <c r="R2645" s="18"/>
      <c r="S2645" s="30"/>
    </row>
    <row r="2646" spans="1:19" x14ac:dyDescent="0.35">
      <c r="A2646" s="81"/>
      <c r="B2646" s="17"/>
      <c r="C2646" s="17"/>
      <c r="D2646" s="17"/>
      <c r="E2646" s="17"/>
      <c r="F2646" s="17"/>
      <c r="G2646" s="17"/>
      <c r="H2646" s="17"/>
      <c r="I2646" s="17"/>
      <c r="J2646" s="17"/>
      <c r="K2646" s="17"/>
      <c r="L2646" s="17"/>
      <c r="M2646" s="17"/>
      <c r="N2646" s="17"/>
      <c r="O2646" s="17"/>
      <c r="P2646" s="17"/>
      <c r="Q2646" s="17"/>
      <c r="R2646" s="18"/>
    </row>
    <row r="2647" spans="1:19" x14ac:dyDescent="0.35">
      <c r="A2647" s="82"/>
      <c r="B2647" s="19"/>
      <c r="C2647" s="19"/>
      <c r="D2647" s="19"/>
      <c r="E2647" s="19"/>
      <c r="F2647" s="19"/>
      <c r="G2647" s="19"/>
      <c r="H2647" s="19"/>
      <c r="I2647" s="19"/>
      <c r="J2647" s="19"/>
      <c r="K2647" s="19"/>
      <c r="L2647" s="19"/>
      <c r="M2647" s="19"/>
      <c r="N2647" s="19"/>
      <c r="O2647" s="19"/>
      <c r="P2647" s="19"/>
      <c r="Q2647" s="19"/>
      <c r="R2647" s="20"/>
    </row>
    <row r="2648" spans="1:19" x14ac:dyDescent="0.35">
      <c r="A2648" s="81"/>
      <c r="B2648" s="17"/>
      <c r="C2648" s="17"/>
      <c r="D2648" s="17"/>
      <c r="E2648" s="17"/>
      <c r="F2648" s="17"/>
      <c r="G2648" s="17"/>
      <c r="H2648" s="17"/>
      <c r="I2648" s="17"/>
      <c r="J2648" s="17"/>
      <c r="K2648" s="17"/>
      <c r="L2648" s="17"/>
      <c r="M2648" s="17"/>
      <c r="N2648" s="17"/>
      <c r="O2648" s="17"/>
      <c r="P2648" s="17"/>
      <c r="Q2648" s="17"/>
      <c r="R2648" s="18"/>
    </row>
    <row r="2649" spans="1:19" x14ac:dyDescent="0.35">
      <c r="A2649" s="82"/>
      <c r="B2649" s="19"/>
      <c r="C2649" s="19"/>
      <c r="D2649" s="19"/>
      <c r="E2649" s="19"/>
      <c r="F2649" s="19"/>
      <c r="G2649" s="19"/>
      <c r="H2649" s="19"/>
      <c r="I2649" s="19"/>
      <c r="J2649" s="19"/>
      <c r="K2649" s="19"/>
      <c r="L2649" s="19"/>
      <c r="M2649" s="19"/>
      <c r="N2649" s="19"/>
      <c r="O2649" s="19"/>
      <c r="P2649" s="19"/>
      <c r="Q2649" s="19"/>
      <c r="R2649" s="20"/>
    </row>
    <row r="2650" spans="1:19" x14ac:dyDescent="0.35">
      <c r="A2650" s="81"/>
      <c r="B2650" s="17"/>
      <c r="C2650" s="17"/>
      <c r="D2650" s="17"/>
      <c r="E2650" s="17"/>
      <c r="F2650" s="17"/>
      <c r="G2650" s="17"/>
      <c r="H2650" s="17"/>
      <c r="I2650" s="17"/>
      <c r="J2650" s="17"/>
      <c r="K2650" s="17"/>
      <c r="L2650" s="17"/>
      <c r="M2650" s="17"/>
      <c r="N2650" s="17"/>
      <c r="O2650" s="17"/>
      <c r="P2650" s="17"/>
      <c r="Q2650" s="17"/>
      <c r="R2650" s="18"/>
    </row>
    <row r="2651" spans="1:19" x14ac:dyDescent="0.35">
      <c r="A2651" s="81"/>
      <c r="B2651" s="17"/>
      <c r="C2651" s="17"/>
      <c r="D2651" s="17"/>
      <c r="E2651" s="17"/>
      <c r="F2651" s="17"/>
      <c r="G2651" s="17"/>
      <c r="H2651" s="17"/>
      <c r="I2651" s="17"/>
      <c r="J2651" s="17"/>
      <c r="K2651" s="17"/>
      <c r="L2651" s="17"/>
      <c r="M2651" s="17"/>
      <c r="N2651" s="17"/>
      <c r="O2651" s="17"/>
      <c r="P2651" s="17"/>
      <c r="Q2651" s="17"/>
      <c r="R2651" s="18"/>
    </row>
    <row r="2652" spans="1:19" x14ac:dyDescent="0.35">
      <c r="A2652" s="81"/>
      <c r="B2652" s="17"/>
      <c r="C2652" s="17"/>
      <c r="D2652" s="17"/>
      <c r="E2652" s="17"/>
      <c r="F2652" s="17"/>
      <c r="G2652" s="17"/>
      <c r="H2652" s="17"/>
      <c r="I2652" s="17"/>
      <c r="J2652" s="17"/>
      <c r="K2652" s="17"/>
      <c r="L2652" s="17"/>
      <c r="M2652" s="17"/>
      <c r="N2652" s="17"/>
      <c r="O2652" s="17"/>
      <c r="P2652" s="17"/>
      <c r="Q2652" s="17"/>
      <c r="R2652" s="18"/>
    </row>
    <row r="2653" spans="1:19" x14ac:dyDescent="0.35">
      <c r="A2653" s="82"/>
      <c r="B2653" s="19"/>
      <c r="C2653" s="19"/>
      <c r="D2653" s="19"/>
      <c r="E2653" s="19"/>
      <c r="F2653" s="19"/>
      <c r="G2653" s="19"/>
      <c r="H2653" s="19"/>
      <c r="I2653" s="19"/>
      <c r="J2653" s="19"/>
      <c r="K2653" s="19"/>
      <c r="L2653" s="19"/>
      <c r="M2653" s="19"/>
      <c r="N2653" s="19"/>
      <c r="O2653" s="19"/>
      <c r="P2653" s="19"/>
      <c r="Q2653" s="19"/>
      <c r="R2653" s="20"/>
    </row>
    <row r="2654" spans="1:19" x14ac:dyDescent="0.35">
      <c r="A2654" s="82"/>
      <c r="B2654" s="19"/>
      <c r="C2654" s="19"/>
      <c r="D2654" s="19"/>
      <c r="E2654" s="19"/>
      <c r="F2654" s="19"/>
      <c r="G2654" s="19"/>
      <c r="H2654" s="19"/>
      <c r="I2654" s="19"/>
      <c r="J2654" s="19"/>
      <c r="K2654" s="19"/>
      <c r="L2654" s="19"/>
      <c r="M2654" s="19"/>
      <c r="N2654" s="19"/>
      <c r="O2654" s="19"/>
      <c r="P2654" s="19"/>
      <c r="Q2654" s="19"/>
      <c r="R2654" s="20"/>
    </row>
    <row r="2655" spans="1:19" x14ac:dyDescent="0.35">
      <c r="A2655" s="82"/>
      <c r="B2655" s="19"/>
      <c r="C2655" s="19"/>
      <c r="D2655" s="19"/>
      <c r="E2655" s="19"/>
      <c r="F2655" s="19"/>
      <c r="G2655" s="19"/>
      <c r="H2655" s="19"/>
      <c r="I2655" s="19"/>
      <c r="J2655" s="19"/>
      <c r="K2655" s="19"/>
      <c r="L2655" s="19"/>
      <c r="M2655" s="19"/>
      <c r="N2655" s="19"/>
      <c r="O2655" s="19"/>
      <c r="P2655" s="19"/>
      <c r="Q2655" s="19"/>
      <c r="R2655" s="20"/>
    </row>
    <row r="2656" spans="1:19" x14ac:dyDescent="0.35">
      <c r="A2656" s="82"/>
      <c r="B2656" s="19"/>
      <c r="C2656" s="19"/>
      <c r="D2656" s="19"/>
      <c r="E2656" s="19"/>
      <c r="F2656" s="19"/>
      <c r="G2656" s="19"/>
      <c r="H2656" s="19"/>
      <c r="I2656" s="19"/>
      <c r="J2656" s="19"/>
      <c r="K2656" s="19"/>
      <c r="L2656" s="19"/>
      <c r="M2656" s="19"/>
      <c r="N2656" s="19"/>
      <c r="O2656" s="19"/>
      <c r="P2656" s="19"/>
      <c r="Q2656" s="19"/>
      <c r="R2656" s="20"/>
    </row>
    <row r="2657" spans="1:19" x14ac:dyDescent="0.35">
      <c r="A2657" s="82"/>
      <c r="B2657" s="19"/>
      <c r="C2657" s="19"/>
      <c r="D2657" s="19"/>
      <c r="E2657" s="19"/>
      <c r="F2657" s="19"/>
      <c r="G2657" s="19"/>
      <c r="H2657" s="19"/>
      <c r="I2657" s="19"/>
      <c r="J2657" s="19"/>
      <c r="K2657" s="19"/>
      <c r="L2657" s="19"/>
      <c r="M2657" s="19"/>
      <c r="N2657" s="19"/>
      <c r="O2657" s="19"/>
      <c r="P2657" s="19"/>
      <c r="Q2657" s="19"/>
      <c r="R2657" s="20"/>
    </row>
    <row r="2658" spans="1:19" x14ac:dyDescent="0.35">
      <c r="A2658" s="81"/>
      <c r="B2658" s="17"/>
      <c r="C2658" s="17"/>
      <c r="D2658" s="17"/>
      <c r="E2658" s="17"/>
      <c r="F2658" s="17"/>
      <c r="G2658" s="17"/>
      <c r="H2658" s="17"/>
      <c r="I2658" s="17"/>
      <c r="J2658" s="17"/>
      <c r="K2658" s="17"/>
      <c r="L2658" s="17"/>
      <c r="M2658" s="17"/>
      <c r="N2658" s="17"/>
      <c r="O2658" s="17"/>
      <c r="P2658" s="17"/>
      <c r="Q2658" s="17"/>
      <c r="R2658" s="18"/>
    </row>
    <row r="2659" spans="1:19" x14ac:dyDescent="0.35">
      <c r="A2659" s="81"/>
      <c r="B2659" s="17"/>
      <c r="C2659" s="17"/>
      <c r="D2659" s="17"/>
      <c r="E2659" s="17"/>
      <c r="F2659" s="17"/>
      <c r="G2659" s="17"/>
      <c r="H2659" s="17"/>
      <c r="I2659" s="17"/>
      <c r="J2659" s="17"/>
      <c r="K2659" s="17"/>
      <c r="L2659" s="17"/>
      <c r="M2659" s="17"/>
      <c r="N2659" s="17"/>
      <c r="O2659" s="17"/>
      <c r="P2659" s="17"/>
      <c r="Q2659" s="17"/>
      <c r="R2659" s="18"/>
    </row>
    <row r="2660" spans="1:19" x14ac:dyDescent="0.35">
      <c r="A2660" s="82"/>
      <c r="B2660" s="19"/>
      <c r="C2660" s="19"/>
      <c r="D2660" s="19"/>
      <c r="E2660" s="19"/>
      <c r="F2660" s="19"/>
      <c r="G2660" s="19"/>
      <c r="H2660" s="19"/>
      <c r="I2660" s="19"/>
      <c r="J2660" s="19"/>
      <c r="K2660" s="19"/>
      <c r="L2660" s="19"/>
      <c r="M2660" s="19"/>
      <c r="N2660" s="19"/>
      <c r="O2660" s="19"/>
      <c r="P2660" s="19"/>
      <c r="Q2660" s="19"/>
      <c r="R2660" s="20"/>
    </row>
    <row r="2661" spans="1:19" x14ac:dyDescent="0.35">
      <c r="A2661" s="82"/>
      <c r="B2661" s="19"/>
      <c r="C2661" s="19"/>
      <c r="D2661" s="19"/>
      <c r="E2661" s="19"/>
      <c r="F2661" s="19"/>
      <c r="G2661" s="19"/>
      <c r="H2661" s="19"/>
      <c r="I2661" s="19"/>
      <c r="J2661" s="19"/>
      <c r="K2661" s="19"/>
      <c r="L2661" s="19"/>
      <c r="M2661" s="19"/>
      <c r="N2661" s="19"/>
      <c r="O2661" s="19"/>
      <c r="P2661" s="19"/>
      <c r="Q2661" s="19"/>
      <c r="R2661" s="20"/>
    </row>
    <row r="2662" spans="1:19" x14ac:dyDescent="0.35">
      <c r="A2662" s="81"/>
      <c r="B2662" s="17"/>
      <c r="C2662" s="17"/>
      <c r="D2662" s="17"/>
      <c r="E2662" s="17"/>
      <c r="F2662" s="17"/>
      <c r="G2662" s="17"/>
      <c r="H2662" s="17"/>
      <c r="I2662" s="17"/>
      <c r="J2662" s="17"/>
      <c r="K2662" s="17"/>
      <c r="L2662" s="17"/>
      <c r="M2662" s="17"/>
      <c r="N2662" s="17"/>
      <c r="O2662" s="17"/>
      <c r="P2662" s="17"/>
      <c r="Q2662" s="17"/>
      <c r="R2662" s="18"/>
    </row>
    <row r="2663" spans="1:19" x14ac:dyDescent="0.35">
      <c r="A2663" s="82"/>
      <c r="B2663" s="19"/>
      <c r="C2663" s="19"/>
      <c r="D2663" s="19"/>
      <c r="E2663" s="19"/>
      <c r="F2663" s="19"/>
      <c r="G2663" s="19"/>
      <c r="H2663" s="19"/>
      <c r="I2663" s="19"/>
      <c r="J2663" s="19"/>
      <c r="K2663" s="19"/>
      <c r="L2663" s="19"/>
      <c r="M2663" s="19"/>
      <c r="N2663" s="19"/>
      <c r="O2663" s="19"/>
      <c r="P2663" s="19"/>
      <c r="Q2663" s="19"/>
      <c r="R2663" s="20"/>
    </row>
    <row r="2664" spans="1:19" x14ac:dyDescent="0.35">
      <c r="A2664" s="82"/>
      <c r="B2664" s="19"/>
      <c r="C2664" s="19"/>
      <c r="D2664" s="19"/>
      <c r="E2664" s="19"/>
      <c r="F2664" s="19"/>
      <c r="G2664" s="19"/>
      <c r="H2664" s="19"/>
      <c r="I2664" s="19"/>
      <c r="J2664" s="19"/>
      <c r="K2664" s="19"/>
      <c r="L2664" s="19"/>
      <c r="M2664" s="19"/>
      <c r="N2664" s="19"/>
      <c r="O2664" s="19"/>
      <c r="P2664" s="19"/>
      <c r="Q2664" s="19"/>
      <c r="R2664" s="20"/>
    </row>
    <row r="2665" spans="1:19" x14ac:dyDescent="0.35">
      <c r="A2665" s="81"/>
      <c r="B2665" s="17"/>
      <c r="C2665" s="17"/>
      <c r="D2665" s="17"/>
      <c r="E2665" s="17"/>
      <c r="F2665" s="17"/>
      <c r="G2665" s="17"/>
      <c r="H2665" s="17"/>
      <c r="I2665" s="17"/>
      <c r="J2665" s="17"/>
      <c r="K2665" s="17"/>
      <c r="L2665" s="17"/>
      <c r="M2665" s="17"/>
      <c r="N2665" s="17"/>
      <c r="O2665" s="17"/>
      <c r="P2665" s="17"/>
      <c r="Q2665" s="17"/>
      <c r="R2665" s="18"/>
      <c r="S2665" s="30"/>
    </row>
    <row r="2666" spans="1:19" x14ac:dyDescent="0.35">
      <c r="A2666" s="82"/>
      <c r="B2666" s="19"/>
      <c r="C2666" s="19"/>
      <c r="D2666" s="19"/>
      <c r="E2666" s="19"/>
      <c r="F2666" s="19"/>
      <c r="G2666" s="19"/>
      <c r="H2666" s="19"/>
      <c r="I2666" s="19"/>
      <c r="J2666" s="19"/>
      <c r="K2666" s="19"/>
      <c r="L2666" s="19"/>
      <c r="M2666" s="19"/>
      <c r="N2666" s="19"/>
      <c r="O2666" s="19"/>
      <c r="P2666" s="19"/>
      <c r="Q2666" s="19"/>
      <c r="R2666" s="20"/>
    </row>
    <row r="2667" spans="1:19" x14ac:dyDescent="0.35">
      <c r="A2667" s="82"/>
      <c r="B2667" s="19"/>
      <c r="C2667" s="19"/>
      <c r="D2667" s="19"/>
      <c r="E2667" s="19"/>
      <c r="F2667" s="19"/>
      <c r="G2667" s="19"/>
      <c r="H2667" s="19"/>
      <c r="I2667" s="19"/>
      <c r="J2667" s="19"/>
      <c r="K2667" s="19"/>
      <c r="L2667" s="19"/>
      <c r="M2667" s="19"/>
      <c r="N2667" s="19"/>
      <c r="O2667" s="19"/>
      <c r="P2667" s="19"/>
      <c r="Q2667" s="19"/>
      <c r="R2667" s="20"/>
    </row>
    <row r="2668" spans="1:19" x14ac:dyDescent="0.35">
      <c r="A2668" s="81"/>
      <c r="B2668" s="17"/>
      <c r="C2668" s="17"/>
      <c r="D2668" s="17"/>
      <c r="E2668" s="17"/>
      <c r="F2668" s="17"/>
      <c r="G2668" s="17"/>
      <c r="H2668" s="17"/>
      <c r="I2668" s="17"/>
      <c r="J2668" s="17"/>
      <c r="K2668" s="17"/>
      <c r="L2668" s="17"/>
      <c r="M2668" s="17"/>
      <c r="N2668" s="17"/>
      <c r="O2668" s="17"/>
      <c r="P2668" s="17"/>
      <c r="Q2668" s="17"/>
      <c r="R2668" s="18"/>
    </row>
    <row r="2669" spans="1:19" x14ac:dyDescent="0.35">
      <c r="A2669" s="82"/>
      <c r="B2669" s="19"/>
      <c r="C2669" s="19"/>
      <c r="D2669" s="19"/>
      <c r="E2669" s="19"/>
      <c r="F2669" s="19"/>
      <c r="G2669" s="19"/>
      <c r="H2669" s="19"/>
      <c r="I2669" s="19"/>
      <c r="J2669" s="19"/>
      <c r="K2669" s="19"/>
      <c r="L2669" s="19"/>
      <c r="M2669" s="19"/>
      <c r="N2669" s="19"/>
      <c r="O2669" s="19"/>
      <c r="P2669" s="19"/>
      <c r="Q2669" s="19"/>
      <c r="R2669" s="20"/>
    </row>
    <row r="2670" spans="1:19" x14ac:dyDescent="0.35">
      <c r="A2670" s="81"/>
      <c r="B2670" s="17"/>
      <c r="C2670" s="17"/>
      <c r="D2670" s="17"/>
      <c r="E2670" s="17"/>
      <c r="F2670" s="17"/>
      <c r="G2670" s="17"/>
      <c r="H2670" s="17"/>
      <c r="I2670" s="17"/>
      <c r="J2670" s="17"/>
      <c r="K2670" s="17"/>
      <c r="L2670" s="17"/>
      <c r="M2670" s="17"/>
      <c r="N2670" s="17"/>
      <c r="O2670" s="17"/>
      <c r="P2670" s="17"/>
      <c r="Q2670" s="17"/>
      <c r="R2670" s="18"/>
    </row>
    <row r="2671" spans="1:19" x14ac:dyDescent="0.35">
      <c r="A2671" s="82"/>
      <c r="B2671" s="19"/>
      <c r="C2671" s="19"/>
      <c r="D2671" s="19"/>
      <c r="E2671" s="19"/>
      <c r="F2671" s="19"/>
      <c r="G2671" s="19"/>
      <c r="H2671" s="19"/>
      <c r="I2671" s="19"/>
      <c r="J2671" s="19"/>
      <c r="K2671" s="19"/>
      <c r="L2671" s="19"/>
      <c r="M2671" s="19"/>
      <c r="N2671" s="19"/>
      <c r="O2671" s="19"/>
      <c r="P2671" s="19"/>
      <c r="Q2671" s="19"/>
      <c r="R2671" s="20"/>
    </row>
    <row r="2672" spans="1:19" x14ac:dyDescent="0.35">
      <c r="A2672" s="81"/>
      <c r="B2672" s="17"/>
      <c r="C2672" s="17"/>
      <c r="D2672" s="17"/>
      <c r="E2672" s="17"/>
      <c r="F2672" s="17"/>
      <c r="G2672" s="17"/>
      <c r="H2672" s="17"/>
      <c r="I2672" s="17"/>
      <c r="J2672" s="17"/>
      <c r="K2672" s="17"/>
      <c r="L2672" s="17"/>
      <c r="M2672" s="17"/>
      <c r="N2672" s="17"/>
      <c r="O2672" s="17"/>
      <c r="P2672" s="17"/>
      <c r="Q2672" s="17"/>
      <c r="R2672" s="18"/>
    </row>
    <row r="2673" spans="1:19" x14ac:dyDescent="0.35">
      <c r="A2673" s="81"/>
      <c r="B2673" s="17"/>
      <c r="C2673" s="17"/>
      <c r="D2673" s="17"/>
      <c r="E2673" s="17"/>
      <c r="F2673" s="17"/>
      <c r="G2673" s="17"/>
      <c r="H2673" s="17"/>
      <c r="I2673" s="17"/>
      <c r="J2673" s="17"/>
      <c r="K2673" s="17"/>
      <c r="L2673" s="17"/>
      <c r="M2673" s="17"/>
      <c r="N2673" s="17"/>
      <c r="O2673" s="19"/>
      <c r="P2673" s="17"/>
      <c r="Q2673" s="17"/>
      <c r="R2673" s="18"/>
    </row>
    <row r="2674" spans="1:19" x14ac:dyDescent="0.35">
      <c r="A2674" s="82"/>
      <c r="B2674" s="19"/>
      <c r="C2674" s="19"/>
      <c r="D2674" s="19"/>
      <c r="E2674" s="19"/>
      <c r="F2674" s="19"/>
      <c r="G2674" s="19"/>
      <c r="H2674" s="19"/>
      <c r="I2674" s="19"/>
      <c r="J2674" s="19"/>
      <c r="K2674" s="19"/>
      <c r="L2674" s="19"/>
      <c r="M2674" s="19"/>
      <c r="N2674" s="19"/>
      <c r="O2674" s="19"/>
      <c r="P2674" s="19"/>
      <c r="Q2674" s="19"/>
      <c r="R2674" s="20"/>
    </row>
    <row r="2675" spans="1:19" x14ac:dyDescent="0.35">
      <c r="A2675" s="82"/>
      <c r="B2675" s="19"/>
      <c r="C2675" s="19"/>
      <c r="D2675" s="19"/>
      <c r="E2675" s="19"/>
      <c r="F2675" s="19"/>
      <c r="G2675" s="19"/>
      <c r="H2675" s="19"/>
      <c r="I2675" s="19"/>
      <c r="J2675" s="19"/>
      <c r="K2675" s="19"/>
      <c r="L2675" s="19"/>
      <c r="M2675" s="19"/>
      <c r="N2675" s="19"/>
      <c r="O2675" s="19"/>
      <c r="P2675" s="19"/>
      <c r="Q2675" s="19"/>
      <c r="R2675" s="20"/>
    </row>
    <row r="2676" spans="1:19" x14ac:dyDescent="0.35">
      <c r="A2676" s="82"/>
      <c r="B2676" s="19"/>
      <c r="C2676" s="19"/>
      <c r="D2676" s="19"/>
      <c r="E2676" s="19"/>
      <c r="F2676" s="19"/>
      <c r="G2676" s="19"/>
      <c r="H2676" s="19"/>
      <c r="I2676" s="19"/>
      <c r="J2676" s="19"/>
      <c r="K2676" s="19"/>
      <c r="L2676" s="19"/>
      <c r="M2676" s="19"/>
      <c r="N2676" s="19"/>
      <c r="O2676" s="19"/>
      <c r="P2676" s="19"/>
      <c r="Q2676" s="19"/>
      <c r="R2676" s="20"/>
    </row>
    <row r="2677" spans="1:19" x14ac:dyDescent="0.35">
      <c r="A2677" s="82"/>
      <c r="B2677" s="19"/>
      <c r="C2677" s="19"/>
      <c r="D2677" s="19"/>
      <c r="E2677" s="19"/>
      <c r="F2677" s="19"/>
      <c r="G2677" s="19"/>
      <c r="H2677" s="19"/>
      <c r="I2677" s="19"/>
      <c r="J2677" s="19"/>
      <c r="K2677" s="19"/>
      <c r="L2677" s="19"/>
      <c r="M2677" s="19"/>
      <c r="N2677" s="19"/>
      <c r="O2677" s="19"/>
      <c r="P2677" s="19"/>
      <c r="Q2677" s="19"/>
      <c r="R2677" s="20"/>
      <c r="S2677" s="30"/>
    </row>
    <row r="2678" spans="1:19" x14ac:dyDescent="0.35">
      <c r="A2678" s="82"/>
      <c r="B2678" s="19"/>
      <c r="C2678" s="19"/>
      <c r="D2678" s="19"/>
      <c r="E2678" s="19"/>
      <c r="F2678" s="19"/>
      <c r="G2678" s="19"/>
      <c r="H2678" s="19"/>
      <c r="I2678" s="19"/>
      <c r="J2678" s="19"/>
      <c r="K2678" s="19"/>
      <c r="L2678" s="19"/>
      <c r="M2678" s="19"/>
      <c r="N2678" s="19"/>
      <c r="O2678" s="19"/>
      <c r="P2678" s="19"/>
      <c r="Q2678" s="19"/>
      <c r="R2678" s="20"/>
    </row>
    <row r="2679" spans="1:19" x14ac:dyDescent="0.35">
      <c r="A2679" s="81"/>
      <c r="B2679" s="17"/>
      <c r="C2679" s="17"/>
      <c r="D2679" s="17"/>
      <c r="E2679" s="17"/>
      <c r="F2679" s="17"/>
      <c r="G2679" s="17"/>
      <c r="H2679" s="17"/>
      <c r="I2679" s="17"/>
      <c r="J2679" s="17"/>
      <c r="K2679" s="17"/>
      <c r="L2679" s="17"/>
      <c r="M2679" s="17"/>
      <c r="N2679" s="17"/>
      <c r="O2679" s="17"/>
      <c r="P2679" s="17"/>
      <c r="Q2679" s="17"/>
      <c r="R2679" s="18"/>
    </row>
    <row r="2680" spans="1:19" x14ac:dyDescent="0.35">
      <c r="A2680" s="82"/>
      <c r="B2680" s="19"/>
      <c r="C2680" s="19"/>
      <c r="D2680" s="19"/>
      <c r="E2680" s="19"/>
      <c r="F2680" s="19"/>
      <c r="G2680" s="19"/>
      <c r="H2680" s="19"/>
      <c r="I2680" s="19"/>
      <c r="J2680" s="19"/>
      <c r="K2680" s="19"/>
      <c r="L2680" s="19"/>
      <c r="M2680" s="19"/>
      <c r="N2680" s="19"/>
      <c r="O2680" s="19"/>
      <c r="P2680" s="19"/>
      <c r="Q2680" s="19"/>
      <c r="R2680" s="20"/>
    </row>
    <row r="2681" spans="1:19" x14ac:dyDescent="0.35">
      <c r="A2681" s="81"/>
      <c r="B2681" s="17"/>
      <c r="C2681" s="17"/>
      <c r="D2681" s="17"/>
      <c r="E2681" s="17"/>
      <c r="F2681" s="17"/>
      <c r="G2681" s="17"/>
      <c r="H2681" s="17"/>
      <c r="I2681" s="17"/>
      <c r="J2681" s="17"/>
      <c r="K2681" s="17"/>
      <c r="L2681" s="17"/>
      <c r="M2681" s="17"/>
      <c r="N2681" s="17"/>
      <c r="O2681" s="17"/>
      <c r="P2681" s="17"/>
      <c r="Q2681" s="17"/>
      <c r="R2681" s="18"/>
    </row>
    <row r="2682" spans="1:19" x14ac:dyDescent="0.35">
      <c r="A2682" s="82"/>
      <c r="B2682" s="19"/>
      <c r="C2682" s="19"/>
      <c r="D2682" s="19"/>
      <c r="E2682" s="19"/>
      <c r="F2682" s="19"/>
      <c r="G2682" s="19"/>
      <c r="H2682" s="19"/>
      <c r="I2682" s="19"/>
      <c r="J2682" s="19"/>
      <c r="K2682" s="19"/>
      <c r="L2682" s="19"/>
      <c r="M2682" s="19"/>
      <c r="N2682" s="19"/>
      <c r="O2682" s="19"/>
      <c r="P2682" s="19"/>
      <c r="Q2682" s="19"/>
      <c r="R2682" s="20"/>
    </row>
    <row r="2683" spans="1:19" x14ac:dyDescent="0.35">
      <c r="A2683" s="81"/>
      <c r="B2683" s="17"/>
      <c r="C2683" s="17"/>
      <c r="D2683" s="17"/>
      <c r="E2683" s="17"/>
      <c r="F2683" s="17"/>
      <c r="G2683" s="17"/>
      <c r="H2683" s="17"/>
      <c r="I2683" s="17"/>
      <c r="J2683" s="17"/>
      <c r="K2683" s="17"/>
      <c r="L2683" s="17"/>
      <c r="M2683" s="17"/>
      <c r="N2683" s="17"/>
      <c r="O2683" s="17"/>
      <c r="P2683" s="17"/>
      <c r="Q2683" s="17"/>
      <c r="R2683" s="18"/>
    </row>
    <row r="2684" spans="1:19" x14ac:dyDescent="0.35">
      <c r="A2684" s="82"/>
      <c r="B2684" s="19"/>
      <c r="C2684" s="19"/>
      <c r="D2684" s="19"/>
      <c r="E2684" s="19"/>
      <c r="F2684" s="19"/>
      <c r="G2684" s="19"/>
      <c r="H2684" s="19"/>
      <c r="I2684" s="19"/>
      <c r="J2684" s="19"/>
      <c r="K2684" s="19"/>
      <c r="L2684" s="19"/>
      <c r="M2684" s="19"/>
      <c r="N2684" s="19"/>
      <c r="O2684" s="19"/>
      <c r="P2684" s="19"/>
      <c r="Q2684" s="19"/>
      <c r="R2684" s="20"/>
    </row>
    <row r="2685" spans="1:19" x14ac:dyDescent="0.35">
      <c r="A2685" s="82"/>
      <c r="B2685" s="19"/>
      <c r="C2685" s="19"/>
      <c r="D2685" s="19"/>
      <c r="E2685" s="19"/>
      <c r="F2685" s="19"/>
      <c r="G2685" s="19"/>
      <c r="H2685" s="19"/>
      <c r="I2685" s="19"/>
      <c r="J2685" s="19"/>
      <c r="K2685" s="19"/>
      <c r="L2685" s="19"/>
      <c r="M2685" s="19"/>
      <c r="N2685" s="19"/>
      <c r="O2685" s="19"/>
      <c r="P2685" s="19"/>
      <c r="Q2685" s="19"/>
      <c r="R2685" s="20"/>
    </row>
    <row r="2686" spans="1:19" x14ac:dyDescent="0.35">
      <c r="A2686" s="81"/>
      <c r="B2686" s="17"/>
      <c r="C2686" s="17"/>
      <c r="D2686" s="17"/>
      <c r="E2686" s="17"/>
      <c r="F2686" s="17"/>
      <c r="G2686" s="17"/>
      <c r="H2686" s="17"/>
      <c r="I2686" s="17"/>
      <c r="J2686" s="17"/>
      <c r="K2686" s="17"/>
      <c r="L2686" s="17"/>
      <c r="M2686" s="17"/>
      <c r="N2686" s="17"/>
      <c r="O2686" s="17"/>
      <c r="P2686" s="17"/>
      <c r="Q2686" s="17"/>
      <c r="R2686" s="18"/>
    </row>
    <row r="2687" spans="1:19" x14ac:dyDescent="0.35">
      <c r="A2687" s="82"/>
      <c r="B2687" s="19"/>
      <c r="C2687" s="19"/>
      <c r="D2687" s="19"/>
      <c r="E2687" s="19"/>
      <c r="F2687" s="19"/>
      <c r="G2687" s="19"/>
      <c r="H2687" s="19"/>
      <c r="I2687" s="19"/>
      <c r="J2687" s="19"/>
      <c r="K2687" s="19"/>
      <c r="L2687" s="19"/>
      <c r="M2687" s="19"/>
      <c r="N2687" s="19"/>
      <c r="O2687" s="19"/>
      <c r="P2687" s="19"/>
      <c r="Q2687" s="19"/>
      <c r="R2687" s="20"/>
    </row>
    <row r="2688" spans="1:19" x14ac:dyDescent="0.35">
      <c r="A2688" s="81"/>
      <c r="B2688" s="17"/>
      <c r="C2688" s="17"/>
      <c r="D2688" s="17"/>
      <c r="E2688" s="17"/>
      <c r="F2688" s="17"/>
      <c r="G2688" s="17"/>
      <c r="H2688" s="17"/>
      <c r="I2688" s="17"/>
      <c r="J2688" s="17"/>
      <c r="K2688" s="17"/>
      <c r="L2688" s="17"/>
      <c r="M2688" s="17"/>
      <c r="N2688" s="17"/>
      <c r="O2688" s="17"/>
      <c r="P2688" s="17"/>
      <c r="Q2688" s="17"/>
      <c r="R2688" s="18"/>
    </row>
    <row r="2689" spans="1:19" x14ac:dyDescent="0.35">
      <c r="A2689" s="82"/>
      <c r="B2689" s="19"/>
      <c r="C2689" s="19"/>
      <c r="D2689" s="19"/>
      <c r="E2689" s="19"/>
      <c r="F2689" s="19"/>
      <c r="G2689" s="19"/>
      <c r="H2689" s="19"/>
      <c r="I2689" s="19"/>
      <c r="J2689" s="19"/>
      <c r="K2689" s="19"/>
      <c r="L2689" s="19"/>
      <c r="M2689" s="19"/>
      <c r="N2689" s="19"/>
      <c r="O2689" s="19"/>
      <c r="P2689" s="19"/>
      <c r="Q2689" s="19"/>
      <c r="R2689" s="20"/>
    </row>
    <row r="2690" spans="1:19" x14ac:dyDescent="0.35">
      <c r="A2690" s="82"/>
      <c r="B2690" s="19"/>
      <c r="C2690" s="19"/>
      <c r="D2690" s="19"/>
      <c r="E2690" s="19"/>
      <c r="F2690" s="19"/>
      <c r="G2690" s="19"/>
      <c r="H2690" s="19"/>
      <c r="I2690" s="19"/>
      <c r="J2690" s="19"/>
      <c r="K2690" s="19"/>
      <c r="L2690" s="19"/>
      <c r="M2690" s="19"/>
      <c r="N2690" s="19"/>
      <c r="O2690" s="19"/>
      <c r="P2690" s="19"/>
      <c r="Q2690" s="19"/>
      <c r="R2690" s="20"/>
    </row>
    <row r="2691" spans="1:19" x14ac:dyDescent="0.35">
      <c r="A2691" s="81"/>
      <c r="B2691" s="17"/>
      <c r="C2691" s="17"/>
      <c r="D2691" s="17"/>
      <c r="E2691" s="17"/>
      <c r="F2691" s="17"/>
      <c r="G2691" s="17"/>
      <c r="H2691" s="17"/>
      <c r="I2691" s="17"/>
      <c r="J2691" s="17"/>
      <c r="K2691" s="17"/>
      <c r="L2691" s="17"/>
      <c r="M2691" s="17"/>
      <c r="N2691" s="17"/>
      <c r="O2691" s="17"/>
      <c r="P2691" s="17"/>
      <c r="Q2691" s="17"/>
      <c r="R2691" s="18"/>
    </row>
    <row r="2692" spans="1:19" x14ac:dyDescent="0.35">
      <c r="A2692" s="82"/>
      <c r="B2692" s="19"/>
      <c r="C2692" s="19"/>
      <c r="D2692" s="19"/>
      <c r="E2692" s="19"/>
      <c r="F2692" s="19"/>
      <c r="G2692" s="19"/>
      <c r="H2692" s="19"/>
      <c r="I2692" s="19"/>
      <c r="J2692" s="19"/>
      <c r="K2692" s="19"/>
      <c r="L2692" s="19"/>
      <c r="M2692" s="19"/>
      <c r="N2692" s="19"/>
      <c r="O2692" s="19"/>
      <c r="P2692" s="19"/>
      <c r="Q2692" s="19"/>
      <c r="R2692" s="20"/>
    </row>
    <row r="2693" spans="1:19" x14ac:dyDescent="0.35">
      <c r="A2693" s="82"/>
      <c r="B2693" s="19"/>
      <c r="C2693" s="19"/>
      <c r="D2693" s="19"/>
      <c r="E2693" s="19"/>
      <c r="F2693" s="19"/>
      <c r="G2693" s="19"/>
      <c r="H2693" s="19"/>
      <c r="I2693" s="19"/>
      <c r="J2693" s="19"/>
      <c r="K2693" s="19"/>
      <c r="L2693" s="19"/>
      <c r="M2693" s="19"/>
      <c r="N2693" s="19"/>
      <c r="O2693" s="19"/>
      <c r="P2693" s="19"/>
      <c r="Q2693" s="19"/>
      <c r="R2693" s="20"/>
    </row>
    <row r="2694" spans="1:19" x14ac:dyDescent="0.35">
      <c r="A2694" s="82"/>
      <c r="B2694" s="19"/>
      <c r="C2694" s="19"/>
      <c r="D2694" s="19"/>
      <c r="E2694" s="19"/>
      <c r="F2694" s="19"/>
      <c r="G2694" s="19"/>
      <c r="H2694" s="19"/>
      <c r="I2694" s="19"/>
      <c r="J2694" s="19"/>
      <c r="K2694" s="19"/>
      <c r="L2694" s="19"/>
      <c r="M2694" s="19"/>
      <c r="N2694" s="19"/>
      <c r="O2694" s="19"/>
      <c r="P2694" s="19"/>
      <c r="Q2694" s="19"/>
      <c r="R2694" s="20"/>
      <c r="S2694" s="20"/>
    </row>
    <row r="2695" spans="1:19" x14ac:dyDescent="0.35">
      <c r="A2695" s="82"/>
      <c r="B2695" s="19"/>
      <c r="C2695" s="19"/>
      <c r="D2695" s="19"/>
      <c r="E2695" s="19"/>
      <c r="F2695" s="19"/>
      <c r="G2695" s="19"/>
      <c r="H2695" s="19"/>
      <c r="I2695" s="19"/>
      <c r="J2695" s="19"/>
      <c r="K2695" s="19"/>
      <c r="L2695" s="19"/>
      <c r="M2695" s="19"/>
      <c r="N2695" s="19"/>
      <c r="O2695" s="19"/>
      <c r="P2695" s="19"/>
      <c r="Q2695" s="19"/>
      <c r="R2695" s="20"/>
      <c r="S2695" s="20"/>
    </row>
    <row r="2696" spans="1:19" x14ac:dyDescent="0.35">
      <c r="A2696" s="82"/>
      <c r="B2696" s="19"/>
      <c r="C2696" s="19"/>
      <c r="D2696" s="19"/>
      <c r="E2696" s="19"/>
      <c r="F2696" s="19"/>
      <c r="G2696" s="19"/>
      <c r="H2696" s="19"/>
      <c r="I2696" s="19"/>
      <c r="J2696" s="19"/>
      <c r="K2696" s="19"/>
      <c r="L2696" s="19"/>
      <c r="M2696" s="19"/>
      <c r="N2696" s="19"/>
      <c r="O2696" s="19"/>
      <c r="P2696" s="19"/>
      <c r="Q2696" s="19"/>
      <c r="R2696" s="20"/>
      <c r="S2696" s="20"/>
    </row>
    <row r="2697" spans="1:19" x14ac:dyDescent="0.35">
      <c r="A2697" s="82"/>
      <c r="B2697" s="19"/>
      <c r="C2697" s="19"/>
      <c r="D2697" s="19"/>
      <c r="E2697" s="19"/>
      <c r="F2697" s="19"/>
      <c r="G2697" s="19"/>
      <c r="H2697" s="19"/>
      <c r="I2697" s="19"/>
      <c r="J2697" s="19"/>
      <c r="K2697" s="19"/>
      <c r="L2697" s="19"/>
      <c r="M2697" s="19"/>
      <c r="N2697" s="19"/>
      <c r="O2697" s="19"/>
      <c r="P2697" s="19"/>
      <c r="Q2697" s="19"/>
      <c r="R2697" s="20"/>
      <c r="S2697" s="20"/>
    </row>
    <row r="2698" spans="1:19" x14ac:dyDescent="0.35">
      <c r="A2698" s="82"/>
      <c r="B2698" s="19"/>
      <c r="C2698" s="19"/>
      <c r="D2698" s="19"/>
      <c r="E2698" s="19"/>
      <c r="F2698" s="19"/>
      <c r="G2698" s="19"/>
      <c r="H2698" s="19"/>
      <c r="I2698" s="19"/>
      <c r="J2698" s="19"/>
      <c r="K2698" s="19"/>
      <c r="L2698" s="19"/>
      <c r="M2698" s="19"/>
      <c r="N2698" s="19"/>
      <c r="O2698" s="19"/>
      <c r="P2698" s="19"/>
      <c r="Q2698" s="19"/>
      <c r="R2698" s="20"/>
      <c r="S2698" s="20"/>
    </row>
    <row r="2699" spans="1:19" x14ac:dyDescent="0.35">
      <c r="A2699" s="81"/>
      <c r="B2699" s="17"/>
      <c r="C2699" s="17"/>
      <c r="D2699" s="17"/>
      <c r="E2699" s="17"/>
      <c r="F2699" s="17"/>
      <c r="G2699" s="17"/>
      <c r="H2699" s="17"/>
      <c r="I2699" s="17"/>
      <c r="J2699" s="17"/>
      <c r="K2699" s="17"/>
      <c r="L2699" s="17"/>
      <c r="M2699" s="17"/>
      <c r="N2699" s="17"/>
      <c r="O2699" s="17"/>
      <c r="P2699" s="17"/>
      <c r="Q2699" s="17"/>
      <c r="R2699" s="18"/>
      <c r="S2699" s="20"/>
    </row>
    <row r="2700" spans="1:19" x14ac:dyDescent="0.35">
      <c r="A2700" s="82"/>
      <c r="B2700" s="19"/>
      <c r="C2700" s="19"/>
      <c r="D2700" s="19"/>
      <c r="E2700" s="19"/>
      <c r="F2700" s="19"/>
      <c r="G2700" s="19"/>
      <c r="H2700" s="19"/>
      <c r="I2700" s="19"/>
      <c r="J2700" s="19"/>
      <c r="K2700" s="19"/>
      <c r="L2700" s="19"/>
      <c r="M2700" s="19"/>
      <c r="N2700" s="19"/>
      <c r="O2700" s="19"/>
      <c r="P2700" s="19"/>
      <c r="Q2700" s="19"/>
      <c r="R2700" s="20"/>
      <c r="S2700" s="20"/>
    </row>
    <row r="2701" spans="1:19" x14ac:dyDescent="0.35">
      <c r="A2701" s="82"/>
      <c r="B2701" s="19"/>
      <c r="C2701" s="19"/>
      <c r="D2701" s="19"/>
      <c r="E2701" s="19"/>
      <c r="F2701" s="19"/>
      <c r="G2701" s="19"/>
      <c r="H2701" s="19"/>
      <c r="I2701" s="19"/>
      <c r="J2701" s="19"/>
      <c r="K2701" s="19"/>
      <c r="L2701" s="19"/>
      <c r="M2701" s="19"/>
      <c r="N2701" s="19"/>
      <c r="O2701" s="19"/>
      <c r="P2701" s="19"/>
      <c r="Q2701" s="19"/>
      <c r="R2701" s="20"/>
      <c r="S2701" s="20"/>
    </row>
    <row r="2702" spans="1:19" x14ac:dyDescent="0.35">
      <c r="A2702" s="81"/>
      <c r="B2702" s="17"/>
      <c r="C2702" s="17"/>
      <c r="D2702" s="17"/>
      <c r="E2702" s="17"/>
      <c r="F2702" s="17"/>
      <c r="G2702" s="17"/>
      <c r="H2702" s="17"/>
      <c r="I2702" s="17"/>
      <c r="J2702" s="17"/>
      <c r="K2702" s="17"/>
      <c r="L2702" s="17"/>
      <c r="M2702" s="17"/>
      <c r="N2702" s="17"/>
      <c r="O2702" s="17"/>
      <c r="P2702" s="17"/>
      <c r="Q2702" s="17"/>
      <c r="R2702" s="18"/>
      <c r="S2702" s="20"/>
    </row>
    <row r="2703" spans="1:19" x14ac:dyDescent="0.35">
      <c r="A2703" s="82"/>
      <c r="B2703" s="19"/>
      <c r="C2703" s="19"/>
      <c r="D2703" s="19"/>
      <c r="E2703" s="19"/>
      <c r="F2703" s="19"/>
      <c r="G2703" s="19"/>
      <c r="H2703" s="19"/>
      <c r="I2703" s="19"/>
      <c r="J2703" s="19"/>
      <c r="K2703" s="19"/>
      <c r="L2703" s="19"/>
      <c r="M2703" s="19"/>
      <c r="N2703" s="19"/>
      <c r="O2703" s="19"/>
      <c r="P2703" s="19"/>
      <c r="Q2703" s="19"/>
      <c r="R2703" s="20"/>
      <c r="S2703" s="20"/>
    </row>
    <row r="2704" spans="1:19" x14ac:dyDescent="0.35">
      <c r="A2704" s="82"/>
      <c r="B2704" s="19"/>
      <c r="C2704" s="19"/>
      <c r="D2704" s="19"/>
      <c r="E2704" s="19"/>
      <c r="F2704" s="19"/>
      <c r="G2704" s="19"/>
      <c r="H2704" s="19"/>
      <c r="I2704" s="19"/>
      <c r="J2704" s="19"/>
      <c r="K2704" s="19"/>
      <c r="L2704" s="19"/>
      <c r="M2704" s="19"/>
      <c r="N2704" s="19"/>
      <c r="O2704" s="19"/>
      <c r="P2704" s="19"/>
      <c r="Q2704" s="19"/>
      <c r="R2704" s="20"/>
      <c r="S2704" s="20"/>
    </row>
    <row r="2705" spans="1:19" x14ac:dyDescent="0.35">
      <c r="A2705" s="81"/>
      <c r="B2705" s="17"/>
      <c r="C2705" s="17"/>
      <c r="D2705" s="17"/>
      <c r="E2705" s="17"/>
      <c r="F2705" s="17"/>
      <c r="G2705" s="17"/>
      <c r="H2705" s="17"/>
      <c r="I2705" s="17"/>
      <c r="J2705" s="17"/>
      <c r="K2705" s="17"/>
      <c r="L2705" s="17"/>
      <c r="M2705" s="17"/>
      <c r="N2705" s="17"/>
      <c r="O2705" s="17"/>
      <c r="P2705" s="17"/>
      <c r="Q2705" s="17"/>
      <c r="R2705" s="18"/>
      <c r="S2705" s="18"/>
    </row>
    <row r="2706" spans="1:19" x14ac:dyDescent="0.35">
      <c r="A2706" s="82"/>
      <c r="B2706" s="19"/>
      <c r="C2706" s="19"/>
      <c r="D2706" s="19"/>
      <c r="E2706" s="19"/>
      <c r="F2706" s="19"/>
      <c r="G2706" s="19"/>
      <c r="H2706" s="19"/>
      <c r="I2706" s="19"/>
      <c r="J2706" s="19"/>
      <c r="K2706" s="19"/>
      <c r="L2706" s="19"/>
      <c r="M2706" s="19"/>
      <c r="N2706" s="19"/>
      <c r="O2706" s="19"/>
      <c r="P2706" s="19"/>
      <c r="Q2706" s="19"/>
      <c r="R2706" s="20"/>
      <c r="S2706" s="20"/>
    </row>
    <row r="2707" spans="1:19" x14ac:dyDescent="0.35">
      <c r="A2707" s="82"/>
      <c r="B2707" s="19"/>
      <c r="C2707" s="19"/>
      <c r="D2707" s="19"/>
      <c r="E2707" s="19"/>
      <c r="F2707" s="19"/>
      <c r="G2707" s="19"/>
      <c r="H2707" s="19"/>
      <c r="I2707" s="19"/>
      <c r="J2707" s="19"/>
      <c r="K2707" s="19"/>
      <c r="L2707" s="19"/>
      <c r="M2707" s="19"/>
      <c r="N2707" s="19"/>
      <c r="O2707" s="19"/>
      <c r="P2707" s="19"/>
      <c r="Q2707" s="19"/>
      <c r="R2707" s="20"/>
      <c r="S2707" s="20"/>
    </row>
    <row r="2708" spans="1:19" x14ac:dyDescent="0.35">
      <c r="A2708" s="82"/>
      <c r="B2708" s="19"/>
      <c r="C2708" s="19"/>
      <c r="D2708" s="19"/>
      <c r="E2708" s="19"/>
      <c r="F2708" s="19"/>
      <c r="G2708" s="19"/>
      <c r="H2708" s="19"/>
      <c r="I2708" s="19"/>
      <c r="J2708" s="19"/>
      <c r="K2708" s="19"/>
      <c r="L2708" s="19"/>
      <c r="M2708" s="19"/>
      <c r="N2708" s="19"/>
      <c r="O2708" s="19"/>
      <c r="P2708" s="19"/>
      <c r="Q2708" s="19"/>
      <c r="R2708" s="20"/>
      <c r="S2708" s="20"/>
    </row>
    <row r="2709" spans="1:19" x14ac:dyDescent="0.35">
      <c r="A2709" s="82"/>
      <c r="B2709" s="19"/>
      <c r="C2709" s="19"/>
      <c r="D2709" s="19"/>
      <c r="E2709" s="19"/>
      <c r="F2709" s="19"/>
      <c r="G2709" s="19"/>
      <c r="H2709" s="19"/>
      <c r="I2709" s="19"/>
      <c r="J2709" s="19"/>
      <c r="K2709" s="19"/>
      <c r="L2709" s="19"/>
      <c r="M2709" s="19"/>
      <c r="N2709" s="19"/>
      <c r="O2709" s="19"/>
      <c r="P2709" s="19"/>
      <c r="Q2709" s="19"/>
      <c r="R2709" s="20"/>
      <c r="S2709" s="20"/>
    </row>
    <row r="2710" spans="1:19" x14ac:dyDescent="0.35">
      <c r="A2710" s="81"/>
      <c r="B2710" s="17"/>
      <c r="C2710" s="17"/>
      <c r="D2710" s="17"/>
      <c r="E2710" s="17"/>
      <c r="F2710" s="17"/>
      <c r="G2710" s="17"/>
      <c r="H2710" s="17"/>
      <c r="I2710" s="17"/>
      <c r="J2710" s="17"/>
      <c r="K2710" s="17"/>
      <c r="L2710" s="17"/>
      <c r="M2710" s="17"/>
      <c r="N2710" s="17"/>
      <c r="O2710" s="17"/>
      <c r="P2710" s="17"/>
      <c r="Q2710" s="17"/>
      <c r="R2710" s="18"/>
      <c r="S2710" s="20"/>
    </row>
    <row r="2711" spans="1:19" x14ac:dyDescent="0.35">
      <c r="A2711" s="81"/>
      <c r="B2711" s="17"/>
      <c r="C2711" s="17"/>
      <c r="D2711" s="17"/>
      <c r="E2711" s="17"/>
      <c r="F2711" s="17"/>
      <c r="G2711" s="17"/>
      <c r="H2711" s="17"/>
      <c r="I2711" s="17"/>
      <c r="J2711" s="17"/>
      <c r="K2711" s="17"/>
      <c r="L2711" s="17"/>
      <c r="M2711" s="17"/>
      <c r="N2711" s="17"/>
      <c r="O2711" s="17"/>
      <c r="P2711" s="17"/>
      <c r="Q2711" s="17"/>
      <c r="R2711" s="18"/>
      <c r="S2711" s="18"/>
    </row>
    <row r="2712" spans="1:19" x14ac:dyDescent="0.35">
      <c r="A2712" s="81"/>
      <c r="B2712" s="17"/>
      <c r="C2712" s="17"/>
      <c r="D2712" s="17"/>
      <c r="E2712" s="17"/>
      <c r="F2712" s="17"/>
      <c r="G2712" s="17"/>
      <c r="H2712" s="17"/>
      <c r="I2712" s="17"/>
      <c r="J2712" s="17"/>
      <c r="K2712" s="17"/>
      <c r="L2712" s="17"/>
      <c r="M2712" s="17"/>
      <c r="N2712" s="17"/>
      <c r="O2712" s="17"/>
      <c r="P2712" s="17"/>
      <c r="Q2712" s="17"/>
      <c r="R2712" s="18"/>
      <c r="S2712" s="20"/>
    </row>
    <row r="2713" spans="1:19" x14ac:dyDescent="0.35">
      <c r="A2713" s="81"/>
      <c r="B2713" s="17"/>
      <c r="C2713" s="17"/>
      <c r="D2713" s="17"/>
      <c r="E2713" s="17"/>
      <c r="F2713" s="17"/>
      <c r="G2713" s="17"/>
      <c r="H2713" s="17"/>
      <c r="I2713" s="17"/>
      <c r="J2713" s="17"/>
      <c r="K2713" s="17"/>
      <c r="L2713" s="17"/>
      <c r="M2713" s="17"/>
      <c r="N2713" s="17"/>
      <c r="O2713" s="19"/>
      <c r="P2713" s="17"/>
      <c r="Q2713" s="17"/>
      <c r="R2713" s="18"/>
      <c r="S2713" s="20"/>
    </row>
    <row r="2714" spans="1:19" x14ac:dyDescent="0.35">
      <c r="A2714" s="82"/>
      <c r="B2714" s="19"/>
      <c r="C2714" s="19"/>
      <c r="D2714" s="19"/>
      <c r="E2714" s="19"/>
      <c r="F2714" s="19"/>
      <c r="G2714" s="19"/>
      <c r="H2714" s="19"/>
      <c r="I2714" s="19"/>
      <c r="J2714" s="19"/>
      <c r="K2714" s="19"/>
      <c r="L2714" s="19"/>
      <c r="M2714" s="19"/>
      <c r="N2714" s="19"/>
      <c r="O2714" s="19"/>
      <c r="P2714" s="19"/>
      <c r="Q2714" s="19"/>
      <c r="R2714" s="20"/>
      <c r="S2714" s="20"/>
    </row>
    <row r="2715" spans="1:19" x14ac:dyDescent="0.35">
      <c r="A2715" s="82"/>
      <c r="B2715" s="19"/>
      <c r="C2715" s="19"/>
      <c r="D2715" s="19"/>
      <c r="E2715" s="19"/>
      <c r="F2715" s="19"/>
      <c r="G2715" s="19"/>
      <c r="H2715" s="19"/>
      <c r="I2715" s="19"/>
      <c r="J2715" s="19"/>
      <c r="K2715" s="19"/>
      <c r="L2715" s="19"/>
      <c r="M2715" s="19"/>
      <c r="N2715" s="19"/>
      <c r="O2715" s="19"/>
      <c r="P2715" s="19"/>
      <c r="Q2715" s="19"/>
      <c r="R2715" s="20"/>
      <c r="S2715" s="20"/>
    </row>
    <row r="2716" spans="1:19" x14ac:dyDescent="0.35">
      <c r="A2716" s="82"/>
      <c r="B2716" s="19"/>
      <c r="C2716" s="19"/>
      <c r="D2716" s="19"/>
      <c r="E2716" s="19"/>
      <c r="F2716" s="19"/>
      <c r="G2716" s="19"/>
      <c r="H2716" s="19"/>
      <c r="I2716" s="19"/>
      <c r="J2716" s="19"/>
      <c r="K2716" s="19"/>
      <c r="L2716" s="19"/>
      <c r="M2716" s="19"/>
      <c r="N2716" s="19"/>
      <c r="O2716" s="19"/>
      <c r="P2716" s="19"/>
      <c r="Q2716" s="19"/>
      <c r="R2716" s="20"/>
      <c r="S2716" s="20"/>
    </row>
    <row r="2717" spans="1:19" x14ac:dyDescent="0.35">
      <c r="A2717" s="82"/>
      <c r="B2717" s="19"/>
      <c r="C2717" s="19"/>
      <c r="D2717" s="19"/>
      <c r="E2717" s="19"/>
      <c r="F2717" s="19"/>
      <c r="G2717" s="19"/>
      <c r="H2717" s="19"/>
      <c r="I2717" s="19"/>
      <c r="J2717" s="19"/>
      <c r="K2717" s="19"/>
      <c r="L2717" s="19"/>
      <c r="M2717" s="19"/>
      <c r="N2717" s="19"/>
      <c r="O2717" s="19"/>
      <c r="P2717" s="19"/>
      <c r="Q2717" s="19"/>
      <c r="R2717" s="20"/>
      <c r="S2717" s="20"/>
    </row>
    <row r="2718" spans="1:19" x14ac:dyDescent="0.35">
      <c r="A2718" s="81"/>
      <c r="B2718" s="17"/>
      <c r="C2718" s="17"/>
      <c r="D2718" s="17"/>
      <c r="E2718" s="17"/>
      <c r="F2718" s="17"/>
      <c r="G2718" s="17"/>
      <c r="H2718" s="17"/>
      <c r="I2718" s="17"/>
      <c r="J2718" s="17"/>
      <c r="K2718" s="17"/>
      <c r="L2718" s="17"/>
      <c r="M2718" s="17"/>
      <c r="N2718" s="17"/>
      <c r="O2718" s="17"/>
      <c r="P2718" s="17"/>
      <c r="Q2718" s="17"/>
      <c r="R2718" s="18"/>
      <c r="S2718" s="18"/>
    </row>
    <row r="2719" spans="1:19" x14ac:dyDescent="0.35">
      <c r="A2719" s="82"/>
      <c r="B2719" s="19"/>
      <c r="C2719" s="19"/>
      <c r="D2719" s="19"/>
      <c r="E2719" s="19"/>
      <c r="F2719" s="19"/>
      <c r="G2719" s="19"/>
      <c r="H2719" s="19"/>
      <c r="I2719" s="19"/>
      <c r="J2719" s="19"/>
      <c r="K2719" s="19"/>
      <c r="L2719" s="19"/>
      <c r="M2719" s="19"/>
      <c r="N2719" s="19"/>
      <c r="O2719" s="19"/>
      <c r="P2719" s="19"/>
      <c r="Q2719" s="19"/>
      <c r="R2719" s="20"/>
      <c r="S2719" s="20"/>
    </row>
    <row r="2720" spans="1:19" x14ac:dyDescent="0.35">
      <c r="A2720" s="82"/>
      <c r="B2720" s="19"/>
      <c r="C2720" s="19"/>
      <c r="D2720" s="19"/>
      <c r="E2720" s="19"/>
      <c r="F2720" s="19"/>
      <c r="G2720" s="19"/>
      <c r="H2720" s="19"/>
      <c r="I2720" s="19"/>
      <c r="J2720" s="19"/>
      <c r="K2720" s="19"/>
      <c r="L2720" s="19"/>
      <c r="M2720" s="19"/>
      <c r="N2720" s="19"/>
      <c r="O2720" s="19"/>
      <c r="P2720" s="19"/>
      <c r="Q2720" s="19"/>
      <c r="R2720" s="20"/>
      <c r="S2720" s="20"/>
    </row>
    <row r="2721" spans="1:19" x14ac:dyDescent="0.35">
      <c r="A2721" s="81"/>
      <c r="B2721" s="17"/>
      <c r="C2721" s="17"/>
      <c r="D2721" s="17"/>
      <c r="E2721" s="17"/>
      <c r="F2721" s="17"/>
      <c r="G2721" s="17"/>
      <c r="H2721" s="17"/>
      <c r="I2721" s="17"/>
      <c r="J2721" s="17"/>
      <c r="K2721" s="17"/>
      <c r="L2721" s="17"/>
      <c r="M2721" s="17"/>
      <c r="N2721" s="17"/>
      <c r="O2721" s="17"/>
      <c r="P2721" s="17"/>
      <c r="Q2721" s="17"/>
      <c r="R2721" s="18"/>
      <c r="S2721" s="20"/>
    </row>
    <row r="2722" spans="1:19" x14ac:dyDescent="0.35">
      <c r="A2722" s="81"/>
      <c r="B2722" s="17"/>
      <c r="C2722" s="17"/>
      <c r="D2722" s="17"/>
      <c r="E2722" s="17"/>
      <c r="F2722" s="17"/>
      <c r="G2722" s="17"/>
      <c r="H2722" s="17"/>
      <c r="I2722" s="17"/>
      <c r="J2722" s="17"/>
      <c r="K2722" s="17"/>
      <c r="L2722" s="17"/>
      <c r="M2722" s="17"/>
      <c r="N2722" s="17"/>
      <c r="O2722" s="17"/>
      <c r="P2722" s="17"/>
      <c r="Q2722" s="17"/>
      <c r="R2722" s="18"/>
      <c r="S2722" s="20"/>
    </row>
    <row r="2723" spans="1:19" x14ac:dyDescent="0.35">
      <c r="A2723" s="81"/>
      <c r="B2723" s="17"/>
      <c r="C2723" s="17"/>
      <c r="D2723" s="17"/>
      <c r="E2723" s="17"/>
      <c r="F2723" s="17"/>
      <c r="G2723" s="17"/>
      <c r="H2723" s="17"/>
      <c r="I2723" s="17"/>
      <c r="J2723" s="17"/>
      <c r="K2723" s="17"/>
      <c r="L2723" s="17"/>
      <c r="M2723" s="17"/>
      <c r="N2723" s="17"/>
      <c r="O2723" s="17"/>
      <c r="P2723" s="17"/>
      <c r="Q2723" s="17"/>
      <c r="R2723" s="18"/>
      <c r="S2723" s="20"/>
    </row>
    <row r="2724" spans="1:19" x14ac:dyDescent="0.35">
      <c r="A2724" s="82"/>
      <c r="B2724" s="19"/>
      <c r="C2724" s="19"/>
      <c r="D2724" s="19"/>
      <c r="E2724" s="19"/>
      <c r="F2724" s="19"/>
      <c r="G2724" s="19"/>
      <c r="H2724" s="19"/>
      <c r="I2724" s="19"/>
      <c r="J2724" s="19"/>
      <c r="K2724" s="19"/>
      <c r="L2724" s="19"/>
      <c r="M2724" s="19"/>
      <c r="N2724" s="19"/>
      <c r="O2724" s="19"/>
      <c r="P2724" s="19"/>
      <c r="Q2724" s="19"/>
      <c r="R2724" s="20"/>
      <c r="S2724" s="20"/>
    </row>
    <row r="2725" spans="1:19" x14ac:dyDescent="0.35">
      <c r="A2725" s="81"/>
      <c r="B2725" s="17"/>
      <c r="C2725" s="17"/>
      <c r="D2725" s="17"/>
      <c r="E2725" s="17"/>
      <c r="F2725" s="17"/>
      <c r="G2725" s="17"/>
      <c r="H2725" s="17"/>
      <c r="I2725" s="17"/>
      <c r="J2725" s="17"/>
      <c r="K2725" s="17"/>
      <c r="L2725" s="17"/>
      <c r="M2725" s="17"/>
      <c r="N2725" s="17"/>
      <c r="O2725" s="17"/>
      <c r="P2725" s="17"/>
      <c r="Q2725" s="17"/>
      <c r="R2725" s="18"/>
      <c r="S2725" s="20"/>
    </row>
    <row r="2726" spans="1:19" x14ac:dyDescent="0.35">
      <c r="A2726" s="82"/>
      <c r="B2726" s="19"/>
      <c r="C2726" s="19"/>
      <c r="D2726" s="19"/>
      <c r="E2726" s="19"/>
      <c r="F2726" s="19"/>
      <c r="G2726" s="19"/>
      <c r="H2726" s="19"/>
      <c r="I2726" s="19"/>
      <c r="J2726" s="19"/>
      <c r="K2726" s="19"/>
      <c r="L2726" s="19"/>
      <c r="M2726" s="19"/>
      <c r="N2726" s="19"/>
      <c r="O2726" s="19"/>
      <c r="P2726" s="19"/>
      <c r="Q2726" s="19"/>
      <c r="R2726" s="20"/>
      <c r="S2726" s="20"/>
    </row>
    <row r="2727" spans="1:19" x14ac:dyDescent="0.35">
      <c r="A2727" s="81"/>
      <c r="B2727" s="17"/>
      <c r="C2727" s="17"/>
      <c r="D2727" s="17"/>
      <c r="E2727" s="17"/>
      <c r="F2727" s="17"/>
      <c r="G2727" s="17"/>
      <c r="H2727" s="17"/>
      <c r="I2727" s="17"/>
      <c r="J2727" s="17"/>
      <c r="K2727" s="17"/>
      <c r="L2727" s="17"/>
      <c r="M2727" s="17"/>
      <c r="N2727" s="17"/>
      <c r="O2727" s="17"/>
      <c r="P2727" s="17"/>
      <c r="Q2727" s="17"/>
      <c r="R2727" s="18"/>
      <c r="S2727" s="20"/>
    </row>
    <row r="2728" spans="1:19" x14ac:dyDescent="0.35">
      <c r="A2728" s="82"/>
      <c r="B2728" s="19"/>
      <c r="C2728" s="19"/>
      <c r="D2728" s="19"/>
      <c r="E2728" s="19"/>
      <c r="F2728" s="19"/>
      <c r="G2728" s="19"/>
      <c r="H2728" s="19"/>
      <c r="I2728" s="19"/>
      <c r="J2728" s="19"/>
      <c r="K2728" s="19"/>
      <c r="L2728" s="19"/>
      <c r="M2728" s="19"/>
      <c r="N2728" s="19"/>
      <c r="O2728" s="19"/>
      <c r="P2728" s="19"/>
      <c r="Q2728" s="19"/>
      <c r="R2728" s="20"/>
      <c r="S2728" s="20"/>
    </row>
    <row r="2729" spans="1:19" x14ac:dyDescent="0.35">
      <c r="A2729" s="81"/>
      <c r="B2729" s="17"/>
      <c r="C2729" s="17"/>
      <c r="D2729" s="17"/>
      <c r="E2729" s="17"/>
      <c r="F2729" s="17"/>
      <c r="G2729" s="17"/>
      <c r="H2729" s="17"/>
      <c r="I2729" s="17"/>
      <c r="J2729" s="17"/>
      <c r="K2729" s="17"/>
      <c r="L2729" s="17"/>
      <c r="M2729" s="17"/>
      <c r="N2729" s="17"/>
      <c r="O2729" s="17"/>
      <c r="P2729" s="17"/>
      <c r="Q2729" s="17"/>
      <c r="R2729" s="18"/>
      <c r="S2729" s="20"/>
    </row>
    <row r="2730" spans="1:19" x14ac:dyDescent="0.35">
      <c r="A2730" s="82"/>
      <c r="B2730" s="19"/>
      <c r="C2730" s="19"/>
      <c r="D2730" s="19"/>
      <c r="E2730" s="19"/>
      <c r="F2730" s="19"/>
      <c r="G2730" s="19"/>
      <c r="H2730" s="19"/>
      <c r="I2730" s="19"/>
      <c r="J2730" s="19"/>
      <c r="K2730" s="19"/>
      <c r="L2730" s="19"/>
      <c r="M2730" s="19"/>
      <c r="N2730" s="19"/>
      <c r="O2730" s="19"/>
      <c r="P2730" s="19"/>
      <c r="Q2730" s="19"/>
      <c r="R2730" s="20"/>
      <c r="S2730" s="20"/>
    </row>
    <row r="2731" spans="1:19" x14ac:dyDescent="0.35">
      <c r="A2731" s="81"/>
      <c r="B2731" s="17"/>
      <c r="C2731" s="17"/>
      <c r="D2731" s="17"/>
      <c r="E2731" s="17"/>
      <c r="F2731" s="17"/>
      <c r="G2731" s="17"/>
      <c r="H2731" s="17"/>
      <c r="I2731" s="17"/>
      <c r="J2731" s="17"/>
      <c r="K2731" s="17"/>
      <c r="L2731" s="17"/>
      <c r="M2731" s="17"/>
      <c r="N2731" s="17"/>
      <c r="O2731" s="17"/>
      <c r="P2731" s="17"/>
      <c r="Q2731" s="17"/>
      <c r="R2731" s="18"/>
      <c r="S2731" s="20"/>
    </row>
    <row r="2732" spans="1:19" x14ac:dyDescent="0.35">
      <c r="A2732" s="82"/>
      <c r="B2732" s="19"/>
      <c r="C2732" s="19"/>
      <c r="D2732" s="19"/>
      <c r="E2732" s="19"/>
      <c r="F2732" s="19"/>
      <c r="G2732" s="19"/>
      <c r="H2732" s="19"/>
      <c r="I2732" s="19"/>
      <c r="J2732" s="19"/>
      <c r="K2732" s="19"/>
      <c r="L2732" s="19"/>
      <c r="M2732" s="19"/>
      <c r="N2732" s="19"/>
      <c r="O2732" s="19"/>
      <c r="P2732" s="19"/>
      <c r="Q2732" s="19"/>
      <c r="R2732" s="20"/>
      <c r="S2732" s="20"/>
    </row>
    <row r="2733" spans="1:19" x14ac:dyDescent="0.35">
      <c r="A2733" s="82"/>
      <c r="B2733" s="19"/>
      <c r="C2733" s="19"/>
      <c r="D2733" s="19"/>
      <c r="E2733" s="19"/>
      <c r="F2733" s="19"/>
      <c r="G2733" s="19"/>
      <c r="H2733" s="19"/>
      <c r="I2733" s="19"/>
      <c r="J2733" s="19"/>
      <c r="K2733" s="19"/>
      <c r="L2733" s="19"/>
      <c r="M2733" s="19"/>
      <c r="N2733" s="19"/>
      <c r="O2733" s="19"/>
      <c r="P2733" s="19"/>
      <c r="Q2733" s="19"/>
      <c r="R2733" s="20"/>
      <c r="S2733" s="20"/>
    </row>
    <row r="2734" spans="1:19" x14ac:dyDescent="0.35">
      <c r="A2734" s="82"/>
      <c r="B2734" s="19"/>
      <c r="C2734" s="19"/>
      <c r="D2734" s="19"/>
      <c r="E2734" s="19"/>
      <c r="F2734" s="19"/>
      <c r="G2734" s="19"/>
      <c r="H2734" s="19"/>
      <c r="I2734" s="19"/>
      <c r="J2734" s="19"/>
      <c r="K2734" s="19"/>
      <c r="L2734" s="19"/>
      <c r="M2734" s="19"/>
      <c r="N2734" s="19"/>
      <c r="O2734" s="19"/>
      <c r="P2734" s="19"/>
      <c r="Q2734" s="19"/>
      <c r="R2734" s="20"/>
      <c r="S2734" s="20"/>
    </row>
    <row r="2735" spans="1:19" x14ac:dyDescent="0.35">
      <c r="A2735" s="81"/>
      <c r="B2735" s="17"/>
      <c r="C2735" s="17"/>
      <c r="D2735" s="17"/>
      <c r="E2735" s="17"/>
      <c r="F2735" s="17"/>
      <c r="G2735" s="17"/>
      <c r="H2735" s="17"/>
      <c r="I2735" s="17"/>
      <c r="J2735" s="17"/>
      <c r="K2735" s="17"/>
      <c r="L2735" s="17"/>
      <c r="M2735" s="17"/>
      <c r="N2735" s="17"/>
      <c r="O2735" s="17"/>
      <c r="P2735" s="17"/>
      <c r="Q2735" s="17"/>
      <c r="R2735" s="18"/>
      <c r="S2735" s="20"/>
    </row>
    <row r="2736" spans="1:19" x14ac:dyDescent="0.35">
      <c r="A2736" s="82"/>
      <c r="B2736" s="19"/>
      <c r="C2736" s="19"/>
      <c r="D2736" s="19"/>
      <c r="E2736" s="19"/>
      <c r="F2736" s="19"/>
      <c r="G2736" s="19"/>
      <c r="H2736" s="19"/>
      <c r="I2736" s="19"/>
      <c r="J2736" s="19"/>
      <c r="K2736" s="19"/>
      <c r="L2736" s="19"/>
      <c r="M2736" s="19"/>
      <c r="N2736" s="19"/>
      <c r="O2736" s="19"/>
      <c r="P2736" s="19"/>
      <c r="Q2736" s="19"/>
      <c r="R2736" s="20"/>
      <c r="S2736" s="20"/>
    </row>
    <row r="2737" spans="1:19" x14ac:dyDescent="0.35">
      <c r="A2737" s="81"/>
      <c r="B2737" s="17"/>
      <c r="C2737" s="17"/>
      <c r="D2737" s="17"/>
      <c r="E2737" s="17"/>
      <c r="F2737" s="17"/>
      <c r="G2737" s="17"/>
      <c r="H2737" s="17"/>
      <c r="I2737" s="17"/>
      <c r="J2737" s="17"/>
      <c r="K2737" s="17"/>
      <c r="L2737" s="17"/>
      <c r="M2737" s="17"/>
      <c r="N2737" s="17"/>
      <c r="O2737" s="17"/>
      <c r="P2737" s="17"/>
      <c r="Q2737" s="17"/>
      <c r="R2737" s="18"/>
      <c r="S2737" s="20"/>
    </row>
    <row r="2738" spans="1:19" x14ac:dyDescent="0.35">
      <c r="A2738" s="81"/>
      <c r="B2738" s="17"/>
      <c r="C2738" s="17"/>
      <c r="D2738" s="17"/>
      <c r="E2738" s="17"/>
      <c r="F2738" s="17"/>
      <c r="G2738" s="17"/>
      <c r="H2738" s="17"/>
      <c r="I2738" s="17"/>
      <c r="J2738" s="17"/>
      <c r="K2738" s="17"/>
      <c r="L2738" s="17"/>
      <c r="M2738" s="17"/>
      <c r="N2738" s="17"/>
      <c r="O2738" s="17"/>
      <c r="P2738" s="17"/>
      <c r="Q2738" s="17"/>
      <c r="R2738" s="18"/>
      <c r="S2738" s="18"/>
    </row>
    <row r="2739" spans="1:19" x14ac:dyDescent="0.35">
      <c r="A2739" s="81"/>
      <c r="B2739" s="17"/>
      <c r="C2739" s="17"/>
      <c r="D2739" s="17"/>
      <c r="E2739" s="17"/>
      <c r="F2739" s="17"/>
      <c r="G2739" s="17"/>
      <c r="H2739" s="17"/>
      <c r="I2739" s="17"/>
      <c r="J2739" s="17"/>
      <c r="K2739" s="17"/>
      <c r="L2739" s="17"/>
      <c r="M2739" s="17"/>
      <c r="N2739" s="17"/>
      <c r="O2739" s="17"/>
      <c r="P2739" s="17"/>
      <c r="Q2739" s="17"/>
      <c r="R2739" s="18"/>
      <c r="S2739" s="20"/>
    </row>
    <row r="2740" spans="1:19" x14ac:dyDescent="0.35">
      <c r="A2740" s="82"/>
      <c r="B2740" s="19"/>
      <c r="C2740" s="19"/>
      <c r="D2740" s="19"/>
      <c r="E2740" s="19"/>
      <c r="F2740" s="19"/>
      <c r="G2740" s="19"/>
      <c r="H2740" s="19"/>
      <c r="I2740" s="19"/>
      <c r="J2740" s="19"/>
      <c r="K2740" s="19"/>
      <c r="L2740" s="19"/>
      <c r="M2740" s="19"/>
      <c r="N2740" s="19"/>
      <c r="O2740" s="19"/>
      <c r="P2740" s="19"/>
      <c r="Q2740" s="19"/>
      <c r="R2740" s="20"/>
      <c r="S2740" s="20"/>
    </row>
    <row r="2741" spans="1:19" x14ac:dyDescent="0.35">
      <c r="A2741" s="81"/>
      <c r="B2741" s="17"/>
      <c r="C2741" s="17"/>
      <c r="D2741" s="17"/>
      <c r="E2741" s="17"/>
      <c r="F2741" s="17"/>
      <c r="G2741" s="17"/>
      <c r="H2741" s="17"/>
      <c r="I2741" s="17"/>
      <c r="J2741" s="17"/>
      <c r="K2741" s="17"/>
      <c r="L2741" s="17"/>
      <c r="M2741" s="17"/>
      <c r="N2741" s="17"/>
      <c r="O2741" s="17"/>
      <c r="P2741" s="17"/>
      <c r="Q2741" s="17"/>
      <c r="R2741" s="18"/>
      <c r="S2741" s="18"/>
    </row>
    <row r="2742" spans="1:19" x14ac:dyDescent="0.35">
      <c r="A2742" s="82"/>
      <c r="B2742" s="19"/>
      <c r="C2742" s="19"/>
      <c r="D2742" s="19"/>
      <c r="E2742" s="19"/>
      <c r="F2742" s="19"/>
      <c r="G2742" s="19"/>
      <c r="H2742" s="19"/>
      <c r="I2742" s="19"/>
      <c r="J2742" s="19"/>
      <c r="K2742" s="19"/>
      <c r="L2742" s="19"/>
      <c r="M2742" s="19"/>
      <c r="N2742" s="19"/>
      <c r="O2742" s="19"/>
      <c r="P2742" s="19"/>
      <c r="Q2742" s="19"/>
      <c r="R2742" s="20"/>
      <c r="S2742" s="20"/>
    </row>
    <row r="2743" spans="1:19" x14ac:dyDescent="0.35">
      <c r="A2743" s="81"/>
      <c r="B2743" s="17"/>
      <c r="C2743" s="17"/>
      <c r="D2743" s="17"/>
      <c r="E2743" s="17"/>
      <c r="F2743" s="17"/>
      <c r="G2743" s="17"/>
      <c r="H2743" s="17"/>
      <c r="I2743" s="17"/>
      <c r="J2743" s="17"/>
      <c r="K2743" s="17"/>
      <c r="L2743" s="19"/>
      <c r="M2743" s="19"/>
      <c r="N2743" s="19"/>
      <c r="O2743" s="17"/>
      <c r="P2743" s="17"/>
      <c r="Q2743" s="17"/>
      <c r="R2743" s="18"/>
      <c r="S2743" s="20"/>
    </row>
    <row r="2744" spans="1:19" x14ac:dyDescent="0.35">
      <c r="A2744" s="82"/>
      <c r="B2744" s="19"/>
      <c r="C2744" s="19"/>
      <c r="D2744" s="19"/>
      <c r="E2744" s="19"/>
      <c r="F2744" s="19"/>
      <c r="G2744" s="19"/>
      <c r="H2744" s="19"/>
      <c r="I2744" s="19"/>
      <c r="J2744" s="19"/>
      <c r="K2744" s="19"/>
      <c r="L2744" s="19"/>
      <c r="M2744" s="19"/>
      <c r="N2744" s="19"/>
      <c r="O2744" s="19"/>
      <c r="P2744" s="19"/>
      <c r="Q2744" s="19"/>
      <c r="R2744" s="19"/>
      <c r="S2744" s="20"/>
    </row>
    <row r="2745" spans="1:19" x14ac:dyDescent="0.35">
      <c r="A2745" s="82"/>
      <c r="B2745" s="19"/>
      <c r="C2745" s="19"/>
      <c r="D2745" s="19"/>
      <c r="E2745" s="19"/>
      <c r="F2745" s="19"/>
      <c r="G2745" s="19"/>
      <c r="H2745" s="19"/>
      <c r="I2745" s="19"/>
      <c r="J2745" s="19"/>
      <c r="K2745" s="19"/>
      <c r="L2745" s="19"/>
      <c r="M2745" s="19"/>
      <c r="N2745" s="19"/>
      <c r="O2745" s="19"/>
      <c r="P2745" s="19"/>
      <c r="Q2745" s="19"/>
      <c r="R2745" s="20"/>
      <c r="S2745" s="20"/>
    </row>
    <row r="2746" spans="1:19" x14ac:dyDescent="0.35">
      <c r="A2746" s="81"/>
      <c r="B2746" s="17"/>
      <c r="C2746" s="17"/>
      <c r="D2746" s="17"/>
      <c r="E2746" s="17"/>
      <c r="F2746" s="17"/>
      <c r="G2746" s="17"/>
      <c r="H2746" s="17"/>
      <c r="I2746" s="17"/>
      <c r="J2746" s="17"/>
      <c r="K2746" s="17"/>
      <c r="L2746" s="17"/>
      <c r="M2746" s="17"/>
      <c r="N2746" s="17"/>
      <c r="O2746" s="17"/>
      <c r="P2746" s="17"/>
      <c r="Q2746" s="17"/>
      <c r="R2746" s="18"/>
      <c r="S2746" s="20"/>
    </row>
    <row r="2747" spans="1:19" x14ac:dyDescent="0.35">
      <c r="A2747" s="82"/>
      <c r="B2747" s="19"/>
      <c r="C2747" s="19"/>
      <c r="D2747" s="19"/>
      <c r="E2747" s="19"/>
      <c r="F2747" s="19"/>
      <c r="G2747" s="19"/>
      <c r="H2747" s="19"/>
      <c r="I2747" s="19"/>
      <c r="J2747" s="19"/>
      <c r="K2747" s="19"/>
      <c r="L2747" s="19"/>
      <c r="M2747" s="19"/>
      <c r="N2747" s="19"/>
      <c r="O2747" s="19"/>
      <c r="P2747" s="19"/>
      <c r="Q2747" s="19"/>
      <c r="R2747" s="20"/>
      <c r="S2747" s="18"/>
    </row>
    <row r="2748" spans="1:19" x14ac:dyDescent="0.35">
      <c r="A2748" s="81"/>
      <c r="B2748" s="17"/>
      <c r="C2748" s="17"/>
      <c r="D2748" s="17"/>
      <c r="E2748" s="17"/>
      <c r="F2748" s="17"/>
      <c r="G2748" s="17"/>
      <c r="H2748" s="17"/>
      <c r="I2748" s="17"/>
      <c r="J2748" s="17"/>
      <c r="K2748" s="17"/>
      <c r="L2748" s="17"/>
      <c r="M2748" s="17"/>
      <c r="N2748" s="17"/>
      <c r="O2748" s="17"/>
      <c r="P2748" s="17"/>
      <c r="Q2748" s="17"/>
      <c r="R2748" s="18"/>
      <c r="S2748" s="18"/>
    </row>
    <row r="2749" spans="1:19" x14ac:dyDescent="0.35">
      <c r="A2749" s="82"/>
      <c r="B2749" s="19"/>
      <c r="C2749" s="19"/>
      <c r="D2749" s="19"/>
      <c r="E2749" s="19"/>
      <c r="F2749" s="19"/>
      <c r="G2749" s="19"/>
      <c r="H2749" s="19"/>
      <c r="I2749" s="19"/>
      <c r="J2749" s="19"/>
      <c r="K2749" s="19"/>
      <c r="L2749" s="19"/>
      <c r="M2749" s="19"/>
      <c r="N2749" s="19"/>
      <c r="O2749" s="19"/>
      <c r="P2749" s="19"/>
      <c r="Q2749" s="19"/>
      <c r="R2749" s="20"/>
      <c r="S2749" s="20"/>
    </row>
    <row r="2750" spans="1:19" x14ac:dyDescent="0.35">
      <c r="A2750" s="82"/>
      <c r="B2750" s="19"/>
      <c r="C2750" s="19"/>
      <c r="D2750" s="19"/>
      <c r="E2750" s="19"/>
      <c r="F2750" s="19"/>
      <c r="G2750" s="19"/>
      <c r="H2750" s="19"/>
      <c r="I2750" s="19"/>
      <c r="J2750" s="19"/>
      <c r="K2750" s="19"/>
      <c r="L2750" s="19"/>
      <c r="M2750" s="19"/>
      <c r="N2750" s="19"/>
      <c r="O2750" s="19"/>
      <c r="P2750" s="19"/>
      <c r="Q2750" s="19"/>
      <c r="R2750" s="20"/>
      <c r="S2750" s="20"/>
    </row>
    <row r="2751" spans="1:19" x14ac:dyDescent="0.35">
      <c r="A2751" s="82"/>
      <c r="B2751" s="19"/>
      <c r="C2751" s="19"/>
      <c r="D2751" s="19"/>
      <c r="E2751" s="19"/>
      <c r="F2751" s="19"/>
      <c r="G2751" s="19"/>
      <c r="H2751" s="19"/>
      <c r="I2751" s="19"/>
      <c r="J2751" s="19"/>
      <c r="K2751" s="19"/>
      <c r="L2751" s="19"/>
      <c r="M2751" s="19"/>
      <c r="N2751" s="19"/>
      <c r="O2751" s="19"/>
      <c r="P2751" s="19"/>
      <c r="Q2751" s="19"/>
      <c r="R2751" s="20"/>
      <c r="S2751" s="20"/>
    </row>
    <row r="2752" spans="1:19" x14ac:dyDescent="0.35">
      <c r="A2752" s="82"/>
      <c r="B2752" s="19"/>
      <c r="C2752" s="19"/>
      <c r="D2752" s="19"/>
      <c r="E2752" s="19"/>
      <c r="F2752" s="19"/>
      <c r="G2752" s="19"/>
      <c r="H2752" s="19"/>
      <c r="I2752" s="19"/>
      <c r="J2752" s="19"/>
      <c r="K2752" s="19"/>
      <c r="L2752" s="19"/>
      <c r="M2752" s="19"/>
      <c r="N2752" s="19"/>
      <c r="O2752" s="19"/>
      <c r="P2752" s="19"/>
      <c r="Q2752" s="19"/>
      <c r="R2752" s="20"/>
      <c r="S2752" s="20"/>
    </row>
    <row r="2753" spans="1:19" x14ac:dyDescent="0.35">
      <c r="A2753" s="81"/>
      <c r="B2753" s="17"/>
      <c r="C2753" s="17"/>
      <c r="D2753" s="17"/>
      <c r="E2753" s="17"/>
      <c r="F2753" s="17"/>
      <c r="G2753" s="17"/>
      <c r="H2753" s="17"/>
      <c r="I2753" s="17"/>
      <c r="J2753" s="17"/>
      <c r="K2753" s="17"/>
      <c r="L2753" s="17"/>
      <c r="M2753" s="17"/>
      <c r="N2753" s="17"/>
      <c r="O2753" s="17"/>
      <c r="P2753" s="17"/>
      <c r="Q2753" s="17"/>
      <c r="R2753" s="18"/>
      <c r="S2753" s="20"/>
    </row>
    <row r="2754" spans="1:19" x14ac:dyDescent="0.35">
      <c r="A2754" s="81"/>
      <c r="B2754" s="17"/>
      <c r="C2754" s="17"/>
      <c r="D2754" s="17"/>
      <c r="E2754" s="17"/>
      <c r="F2754" s="17"/>
      <c r="G2754" s="17"/>
      <c r="H2754" s="17"/>
      <c r="I2754" s="17"/>
      <c r="J2754" s="17"/>
      <c r="K2754" s="17"/>
      <c r="L2754" s="17"/>
      <c r="M2754" s="17"/>
      <c r="N2754" s="17"/>
      <c r="O2754" s="17"/>
      <c r="P2754" s="17"/>
      <c r="Q2754" s="17"/>
      <c r="R2754" s="18"/>
      <c r="S2754" s="20"/>
    </row>
    <row r="2755" spans="1:19" x14ac:dyDescent="0.35">
      <c r="A2755" s="82"/>
      <c r="B2755" s="19"/>
      <c r="C2755" s="19"/>
      <c r="D2755" s="19"/>
      <c r="E2755" s="19"/>
      <c r="F2755" s="19"/>
      <c r="G2755" s="19"/>
      <c r="H2755" s="19"/>
      <c r="I2755" s="19"/>
      <c r="J2755" s="19"/>
      <c r="K2755" s="19"/>
      <c r="L2755" s="19"/>
      <c r="M2755" s="19"/>
      <c r="N2755" s="19"/>
      <c r="O2755" s="19"/>
      <c r="P2755" s="19"/>
      <c r="Q2755" s="19"/>
      <c r="R2755" s="20"/>
      <c r="S2755" s="20"/>
    </row>
    <row r="2756" spans="1:19" x14ac:dyDescent="0.35">
      <c r="A2756" s="81"/>
      <c r="B2756" s="17"/>
      <c r="C2756" s="17"/>
      <c r="D2756" s="17"/>
      <c r="E2756" s="17"/>
      <c r="F2756" s="17"/>
      <c r="G2756" s="17"/>
      <c r="H2756" s="17"/>
      <c r="I2756" s="17"/>
      <c r="J2756" s="17"/>
      <c r="K2756" s="17"/>
      <c r="L2756" s="17"/>
      <c r="M2756" s="17"/>
      <c r="N2756" s="17"/>
      <c r="O2756" s="17"/>
      <c r="P2756" s="17"/>
      <c r="Q2756" s="17"/>
      <c r="R2756" s="18"/>
      <c r="S2756" s="20"/>
    </row>
    <row r="2757" spans="1:19" x14ac:dyDescent="0.35">
      <c r="A2757" s="82"/>
      <c r="B2757" s="19"/>
      <c r="C2757" s="19"/>
      <c r="D2757" s="19"/>
      <c r="E2757" s="19"/>
      <c r="F2757" s="19"/>
      <c r="G2757" s="19"/>
      <c r="H2757" s="19"/>
      <c r="I2757" s="19"/>
      <c r="J2757" s="19"/>
      <c r="K2757" s="19"/>
      <c r="L2757" s="19"/>
      <c r="M2757" s="19"/>
      <c r="N2757" s="19"/>
      <c r="O2757" s="19"/>
      <c r="P2757" s="19"/>
      <c r="Q2757" s="19"/>
      <c r="R2757" s="20"/>
      <c r="S2757" s="20"/>
    </row>
    <row r="2758" spans="1:19" x14ac:dyDescent="0.35">
      <c r="A2758" s="82"/>
      <c r="B2758" s="19"/>
      <c r="C2758" s="19"/>
      <c r="D2758" s="19"/>
      <c r="E2758" s="19"/>
      <c r="F2758" s="19"/>
      <c r="G2758" s="19"/>
      <c r="H2758" s="19"/>
      <c r="I2758" s="19"/>
      <c r="J2758" s="19"/>
      <c r="K2758" s="19"/>
      <c r="L2758" s="19"/>
      <c r="M2758" s="19"/>
      <c r="N2758" s="19"/>
      <c r="O2758" s="19"/>
      <c r="P2758" s="19"/>
      <c r="Q2758" s="19"/>
      <c r="R2758" s="20"/>
      <c r="S2758" s="20"/>
    </row>
    <row r="2759" spans="1:19" x14ac:dyDescent="0.35">
      <c r="A2759" s="82"/>
      <c r="B2759" s="19"/>
      <c r="C2759" s="19"/>
      <c r="D2759" s="19"/>
      <c r="E2759" s="19"/>
      <c r="F2759" s="19"/>
      <c r="G2759" s="19"/>
      <c r="H2759" s="19"/>
      <c r="I2759" s="19"/>
      <c r="J2759" s="19"/>
      <c r="K2759" s="19"/>
      <c r="L2759" s="19"/>
      <c r="M2759" s="19"/>
      <c r="N2759" s="19"/>
      <c r="O2759" s="19"/>
      <c r="P2759" s="19"/>
      <c r="Q2759" s="19"/>
      <c r="R2759" s="20"/>
      <c r="S2759" s="20"/>
    </row>
    <row r="2760" spans="1:19" x14ac:dyDescent="0.35">
      <c r="A2760" s="82"/>
      <c r="B2760" s="19"/>
      <c r="C2760" s="19"/>
      <c r="D2760" s="19"/>
      <c r="E2760" s="19"/>
      <c r="F2760" s="19"/>
      <c r="G2760" s="19"/>
      <c r="H2760" s="19"/>
      <c r="I2760" s="19"/>
      <c r="J2760" s="19"/>
      <c r="K2760" s="19"/>
      <c r="L2760" s="19"/>
      <c r="M2760" s="19"/>
      <c r="N2760" s="19"/>
      <c r="O2760" s="19"/>
      <c r="P2760" s="19"/>
      <c r="Q2760" s="19"/>
      <c r="R2760" s="20"/>
    </row>
    <row r="2761" spans="1:19" x14ac:dyDescent="0.35">
      <c r="A2761" s="81"/>
      <c r="B2761" s="17"/>
      <c r="C2761" s="17"/>
      <c r="D2761" s="17"/>
      <c r="E2761" s="17"/>
      <c r="F2761" s="17"/>
      <c r="G2761" s="17"/>
      <c r="H2761" s="17"/>
      <c r="I2761" s="17"/>
      <c r="J2761" s="17"/>
      <c r="K2761" s="17"/>
      <c r="L2761" s="19"/>
      <c r="M2761" s="19"/>
      <c r="N2761" s="19"/>
      <c r="O2761" s="17"/>
      <c r="P2761" s="17"/>
      <c r="Q2761" s="17"/>
      <c r="R2761" s="18"/>
    </row>
    <row r="2762" spans="1:19" x14ac:dyDescent="0.35">
      <c r="A2762" s="82"/>
      <c r="B2762" s="19"/>
      <c r="C2762" s="19"/>
      <c r="D2762" s="19"/>
      <c r="E2762" s="19"/>
      <c r="F2762" s="19"/>
      <c r="G2762" s="19"/>
      <c r="H2762" s="19"/>
      <c r="I2762" s="19"/>
      <c r="J2762" s="19"/>
      <c r="K2762" s="19"/>
      <c r="L2762" s="19"/>
      <c r="M2762" s="19"/>
      <c r="N2762" s="19"/>
      <c r="O2762" s="19"/>
      <c r="P2762" s="19"/>
      <c r="Q2762" s="19"/>
      <c r="R2762" s="20"/>
    </row>
    <row r="2763" spans="1:19" x14ac:dyDescent="0.35">
      <c r="A2763" s="81"/>
      <c r="B2763" s="17"/>
      <c r="C2763" s="17"/>
      <c r="D2763" s="17"/>
      <c r="E2763" s="17"/>
      <c r="F2763" s="17"/>
      <c r="G2763" s="17"/>
      <c r="H2763" s="17"/>
      <c r="I2763" s="17"/>
      <c r="J2763" s="17"/>
      <c r="K2763" s="17"/>
      <c r="L2763" s="17"/>
      <c r="M2763" s="17"/>
      <c r="N2763" s="17"/>
      <c r="O2763" s="17"/>
      <c r="P2763" s="17"/>
      <c r="Q2763" s="17"/>
      <c r="R2763" s="18"/>
      <c r="S2763" s="30"/>
    </row>
    <row r="2764" spans="1:19" x14ac:dyDescent="0.35">
      <c r="A2764" s="81"/>
      <c r="B2764" s="17"/>
      <c r="C2764" s="17"/>
      <c r="D2764" s="17"/>
      <c r="E2764" s="17"/>
      <c r="F2764" s="17"/>
      <c r="G2764" s="17"/>
      <c r="H2764" s="17"/>
      <c r="I2764" s="17"/>
      <c r="J2764" s="17"/>
      <c r="K2764" s="17"/>
      <c r="L2764" s="17"/>
      <c r="M2764" s="17"/>
      <c r="N2764" s="17"/>
      <c r="O2764" s="17"/>
      <c r="P2764" s="17"/>
      <c r="Q2764" s="17"/>
      <c r="R2764" s="18"/>
      <c r="S2764" s="30"/>
    </row>
    <row r="2765" spans="1:19" x14ac:dyDescent="0.35">
      <c r="A2765" s="82"/>
      <c r="B2765" s="19"/>
      <c r="C2765" s="19"/>
      <c r="D2765" s="19"/>
      <c r="E2765" s="19"/>
      <c r="F2765" s="19"/>
      <c r="G2765" s="19"/>
      <c r="H2765" s="19"/>
      <c r="I2765" s="19"/>
      <c r="J2765" s="19"/>
      <c r="K2765" s="19"/>
      <c r="L2765" s="19"/>
      <c r="M2765" s="19"/>
      <c r="N2765" s="19"/>
      <c r="O2765" s="19"/>
      <c r="P2765" s="19"/>
      <c r="Q2765" s="19"/>
      <c r="R2765" s="20"/>
    </row>
    <row r="2766" spans="1:19" x14ac:dyDescent="0.35">
      <c r="A2766" s="82"/>
      <c r="B2766" s="19"/>
      <c r="C2766" s="19"/>
      <c r="D2766" s="19"/>
      <c r="E2766" s="19"/>
      <c r="F2766" s="19"/>
      <c r="G2766" s="19"/>
      <c r="H2766" s="19"/>
      <c r="I2766" s="19"/>
      <c r="J2766" s="19"/>
      <c r="K2766" s="19"/>
      <c r="L2766" s="19"/>
      <c r="M2766" s="19"/>
      <c r="N2766" s="19"/>
      <c r="O2766" s="19"/>
      <c r="P2766" s="19"/>
      <c r="Q2766" s="19"/>
      <c r="R2766" s="20"/>
    </row>
    <row r="2767" spans="1:19" x14ac:dyDescent="0.35">
      <c r="A2767" s="81"/>
      <c r="B2767" s="17"/>
      <c r="C2767" s="17"/>
      <c r="D2767" s="17"/>
      <c r="E2767" s="17"/>
      <c r="F2767" s="17"/>
      <c r="G2767" s="17"/>
      <c r="H2767" s="17"/>
      <c r="I2767" s="17"/>
      <c r="J2767" s="17"/>
      <c r="K2767" s="17"/>
      <c r="L2767" s="17"/>
      <c r="M2767" s="17"/>
      <c r="N2767" s="17"/>
      <c r="O2767" s="17"/>
      <c r="P2767" s="17"/>
      <c r="Q2767" s="17"/>
      <c r="R2767" s="18"/>
      <c r="S2767" s="30"/>
    </row>
    <row r="2768" spans="1:19" x14ac:dyDescent="0.35">
      <c r="A2768" s="82"/>
      <c r="B2768" s="19"/>
      <c r="C2768" s="19"/>
      <c r="D2768" s="19"/>
      <c r="E2768" s="19"/>
      <c r="F2768" s="19"/>
      <c r="G2768" s="19"/>
      <c r="H2768" s="19"/>
      <c r="I2768" s="19"/>
      <c r="J2768" s="19"/>
      <c r="K2768" s="19"/>
      <c r="L2768" s="19"/>
      <c r="M2768" s="19"/>
      <c r="N2768" s="19"/>
      <c r="O2768" s="19"/>
      <c r="P2768" s="19"/>
      <c r="Q2768" s="19"/>
      <c r="R2768" s="20"/>
    </row>
    <row r="2769" spans="1:19" x14ac:dyDescent="0.35">
      <c r="A2769" s="81"/>
      <c r="B2769" s="17"/>
      <c r="C2769" s="17"/>
      <c r="D2769" s="17"/>
      <c r="E2769" s="17"/>
      <c r="F2769" s="17"/>
      <c r="G2769" s="17"/>
      <c r="H2769" s="17"/>
      <c r="I2769" s="17"/>
      <c r="J2769" s="17"/>
      <c r="K2769" s="17"/>
      <c r="L2769" s="17"/>
      <c r="M2769" s="17"/>
      <c r="N2769" s="17"/>
      <c r="O2769" s="17"/>
      <c r="P2769" s="17"/>
      <c r="Q2769" s="17"/>
      <c r="R2769" s="18"/>
    </row>
    <row r="2770" spans="1:19" x14ac:dyDescent="0.35">
      <c r="A2770" s="81"/>
      <c r="B2770" s="17"/>
      <c r="C2770" s="17"/>
      <c r="D2770" s="17"/>
      <c r="E2770" s="17"/>
      <c r="F2770" s="17"/>
      <c r="G2770" s="17"/>
      <c r="H2770" s="17"/>
      <c r="I2770" s="17"/>
      <c r="J2770" s="17"/>
      <c r="K2770" s="17"/>
      <c r="L2770" s="17"/>
      <c r="M2770" s="17"/>
      <c r="N2770" s="17"/>
      <c r="O2770" s="17"/>
      <c r="P2770" s="17"/>
      <c r="Q2770" s="17"/>
      <c r="R2770" s="18"/>
    </row>
    <row r="2771" spans="1:19" x14ac:dyDescent="0.35">
      <c r="A2771" s="82"/>
      <c r="B2771" s="19"/>
      <c r="C2771" s="19"/>
      <c r="D2771" s="19"/>
      <c r="E2771" s="19"/>
      <c r="F2771" s="19"/>
      <c r="G2771" s="19"/>
      <c r="H2771" s="19"/>
      <c r="I2771" s="19"/>
      <c r="J2771" s="19"/>
      <c r="K2771" s="19"/>
      <c r="L2771" s="19"/>
      <c r="M2771" s="19"/>
      <c r="N2771" s="19"/>
      <c r="O2771" s="19"/>
      <c r="P2771" s="19"/>
      <c r="Q2771" s="19"/>
      <c r="R2771" s="20"/>
    </row>
    <row r="2772" spans="1:19" x14ac:dyDescent="0.35">
      <c r="A2772" s="82"/>
      <c r="B2772" s="19"/>
      <c r="C2772" s="19"/>
      <c r="D2772" s="19"/>
      <c r="E2772" s="19"/>
      <c r="F2772" s="19"/>
      <c r="G2772" s="19"/>
      <c r="H2772" s="19"/>
      <c r="I2772" s="19"/>
      <c r="J2772" s="19"/>
      <c r="K2772" s="19"/>
      <c r="L2772" s="19"/>
      <c r="M2772" s="19"/>
      <c r="N2772" s="19"/>
      <c r="O2772" s="19"/>
      <c r="P2772" s="19"/>
      <c r="Q2772" s="19"/>
      <c r="R2772" s="20"/>
    </row>
    <row r="2773" spans="1:19" x14ac:dyDescent="0.35">
      <c r="A2773" s="82"/>
      <c r="B2773" s="19"/>
      <c r="C2773" s="19"/>
      <c r="D2773" s="19"/>
      <c r="E2773" s="19"/>
      <c r="F2773" s="19"/>
      <c r="G2773" s="19"/>
      <c r="H2773" s="19"/>
      <c r="I2773" s="19"/>
      <c r="J2773" s="19"/>
      <c r="K2773" s="19"/>
      <c r="L2773" s="19"/>
      <c r="M2773" s="19"/>
      <c r="N2773" s="19"/>
      <c r="O2773" s="19"/>
      <c r="P2773" s="19"/>
      <c r="Q2773" s="19"/>
      <c r="R2773" s="20"/>
    </row>
    <row r="2774" spans="1:19" x14ac:dyDescent="0.35">
      <c r="A2774" s="82"/>
      <c r="B2774" s="19"/>
      <c r="C2774" s="19"/>
      <c r="D2774" s="19"/>
      <c r="E2774" s="19"/>
      <c r="F2774" s="19"/>
      <c r="G2774" s="19"/>
      <c r="H2774" s="19"/>
      <c r="I2774" s="19"/>
      <c r="J2774" s="19"/>
      <c r="K2774" s="19"/>
      <c r="L2774" s="19"/>
      <c r="M2774" s="19"/>
      <c r="N2774" s="19"/>
      <c r="O2774" s="19"/>
      <c r="P2774" s="19"/>
      <c r="Q2774" s="19"/>
      <c r="R2774" s="20"/>
    </row>
    <row r="2775" spans="1:19" x14ac:dyDescent="0.35">
      <c r="A2775" s="81"/>
      <c r="B2775" s="17"/>
      <c r="C2775" s="17"/>
      <c r="D2775" s="17"/>
      <c r="E2775" s="17"/>
      <c r="F2775" s="17"/>
      <c r="G2775" s="17"/>
      <c r="H2775" s="17"/>
      <c r="I2775" s="17"/>
      <c r="J2775" s="17"/>
      <c r="K2775" s="17"/>
      <c r="L2775" s="17"/>
      <c r="M2775" s="17"/>
      <c r="N2775" s="17"/>
      <c r="O2775" s="17"/>
      <c r="P2775" s="17"/>
      <c r="Q2775" s="17"/>
      <c r="R2775" s="18"/>
      <c r="S2775" s="30"/>
    </row>
    <row r="2776" spans="1:19" x14ac:dyDescent="0.35">
      <c r="A2776" s="82"/>
      <c r="B2776" s="19"/>
      <c r="C2776" s="19"/>
      <c r="D2776" s="19"/>
      <c r="E2776" s="19"/>
      <c r="F2776" s="19"/>
      <c r="G2776" s="19"/>
      <c r="H2776" s="19"/>
      <c r="I2776" s="19"/>
      <c r="J2776" s="19"/>
      <c r="K2776" s="19"/>
      <c r="L2776" s="19"/>
      <c r="M2776" s="19"/>
      <c r="N2776" s="19"/>
      <c r="O2776" s="19"/>
      <c r="P2776" s="19"/>
      <c r="Q2776" s="19"/>
      <c r="R2776" s="20"/>
    </row>
    <row r="2777" spans="1:19" x14ac:dyDescent="0.35">
      <c r="A2777" s="82"/>
      <c r="B2777" s="19"/>
      <c r="C2777" s="19"/>
      <c r="D2777" s="19"/>
      <c r="E2777" s="19"/>
      <c r="F2777" s="19"/>
      <c r="G2777" s="19"/>
      <c r="H2777" s="19"/>
      <c r="I2777" s="19"/>
      <c r="J2777" s="19"/>
      <c r="K2777" s="19"/>
      <c r="L2777" s="19"/>
      <c r="M2777" s="19"/>
      <c r="N2777" s="19"/>
      <c r="O2777" s="19"/>
      <c r="P2777" s="19"/>
      <c r="Q2777" s="19"/>
      <c r="R2777" s="20"/>
    </row>
    <row r="2778" spans="1:19" x14ac:dyDescent="0.35">
      <c r="A2778" s="81"/>
      <c r="B2778" s="17"/>
      <c r="C2778" s="17"/>
      <c r="D2778" s="17"/>
      <c r="E2778" s="17"/>
      <c r="F2778" s="17"/>
      <c r="G2778" s="17"/>
      <c r="H2778" s="17"/>
      <c r="I2778" s="17"/>
      <c r="J2778" s="17"/>
      <c r="K2778" s="17"/>
      <c r="L2778" s="17"/>
      <c r="M2778" s="17"/>
      <c r="N2778" s="17"/>
      <c r="O2778" s="17"/>
      <c r="P2778" s="17"/>
      <c r="Q2778" s="17"/>
      <c r="R2778" s="18"/>
      <c r="S2778" s="30"/>
    </row>
    <row r="2779" spans="1:19" x14ac:dyDescent="0.35">
      <c r="A2779" s="81"/>
      <c r="B2779" s="17"/>
      <c r="C2779" s="17"/>
      <c r="D2779" s="17"/>
      <c r="E2779" s="17"/>
      <c r="F2779" s="17"/>
      <c r="G2779" s="17"/>
      <c r="H2779" s="17"/>
      <c r="I2779" s="17"/>
      <c r="J2779" s="17"/>
      <c r="K2779" s="17"/>
      <c r="L2779" s="17"/>
      <c r="M2779" s="17"/>
      <c r="N2779" s="17"/>
      <c r="O2779" s="17"/>
      <c r="P2779" s="17"/>
      <c r="Q2779" s="17"/>
      <c r="R2779" s="18"/>
    </row>
    <row r="2780" spans="1:19" x14ac:dyDescent="0.35">
      <c r="A2780" s="82"/>
      <c r="B2780" s="19"/>
      <c r="C2780" s="19"/>
      <c r="D2780" s="19"/>
      <c r="E2780" s="19"/>
      <c r="F2780" s="19"/>
      <c r="G2780" s="19"/>
      <c r="H2780" s="19"/>
      <c r="I2780" s="19"/>
      <c r="J2780" s="19"/>
      <c r="K2780" s="19"/>
      <c r="L2780" s="19"/>
      <c r="M2780" s="19"/>
      <c r="N2780" s="19"/>
      <c r="O2780" s="19"/>
      <c r="P2780" s="19"/>
      <c r="Q2780" s="19"/>
      <c r="R2780" s="20"/>
    </row>
    <row r="2781" spans="1:19" x14ac:dyDescent="0.35">
      <c r="A2781" s="82"/>
      <c r="B2781" s="19"/>
      <c r="C2781" s="19"/>
      <c r="D2781" s="19"/>
      <c r="E2781" s="19"/>
      <c r="F2781" s="19"/>
      <c r="G2781" s="19"/>
      <c r="H2781" s="19"/>
      <c r="I2781" s="19"/>
      <c r="J2781" s="19"/>
      <c r="K2781" s="19"/>
      <c r="L2781" s="19"/>
      <c r="M2781" s="19"/>
      <c r="N2781" s="19"/>
      <c r="O2781" s="19"/>
      <c r="P2781" s="19"/>
      <c r="Q2781" s="19"/>
      <c r="R2781" s="20"/>
    </row>
    <row r="2782" spans="1:19" x14ac:dyDescent="0.35">
      <c r="A2782" s="82"/>
      <c r="B2782" s="19"/>
      <c r="C2782" s="19"/>
      <c r="D2782" s="19"/>
      <c r="E2782" s="19"/>
      <c r="F2782" s="19"/>
      <c r="G2782" s="19"/>
      <c r="H2782" s="19"/>
      <c r="I2782" s="19"/>
      <c r="J2782" s="19"/>
      <c r="K2782" s="19"/>
      <c r="L2782" s="19"/>
      <c r="M2782" s="19"/>
      <c r="N2782" s="19"/>
      <c r="O2782" s="19"/>
      <c r="P2782" s="19"/>
      <c r="Q2782" s="19"/>
      <c r="R2782" s="20"/>
    </row>
    <row r="2783" spans="1:19" x14ac:dyDescent="0.35">
      <c r="A2783" s="82"/>
      <c r="B2783" s="19"/>
      <c r="C2783" s="19"/>
      <c r="D2783" s="19"/>
      <c r="E2783" s="19"/>
      <c r="F2783" s="19"/>
      <c r="G2783" s="19"/>
      <c r="H2783" s="19"/>
      <c r="I2783" s="19"/>
      <c r="J2783" s="19"/>
      <c r="K2783" s="19"/>
      <c r="L2783" s="19"/>
      <c r="M2783" s="19"/>
      <c r="N2783" s="19"/>
      <c r="O2783" s="19"/>
      <c r="P2783" s="19"/>
      <c r="Q2783" s="19"/>
      <c r="R2783" s="20"/>
    </row>
    <row r="2784" spans="1:19" x14ac:dyDescent="0.35">
      <c r="A2784" s="82"/>
      <c r="B2784" s="19"/>
      <c r="C2784" s="19"/>
      <c r="D2784" s="19"/>
      <c r="E2784" s="19"/>
      <c r="F2784" s="19"/>
      <c r="G2784" s="19"/>
      <c r="H2784" s="19"/>
      <c r="I2784" s="19"/>
      <c r="J2784" s="19"/>
      <c r="K2784" s="19"/>
      <c r="L2784" s="19"/>
      <c r="M2784" s="19"/>
      <c r="N2784" s="19"/>
      <c r="O2784" s="19"/>
      <c r="P2784" s="19"/>
      <c r="Q2784" s="19"/>
      <c r="R2784" s="20"/>
    </row>
    <row r="2785" spans="1:19" x14ac:dyDescent="0.35">
      <c r="A2785" s="82"/>
      <c r="B2785" s="19"/>
      <c r="C2785" s="19"/>
      <c r="D2785" s="19"/>
      <c r="E2785" s="19"/>
      <c r="F2785" s="19"/>
      <c r="G2785" s="19"/>
      <c r="H2785" s="19"/>
      <c r="I2785" s="19"/>
      <c r="J2785" s="19"/>
      <c r="K2785" s="19"/>
      <c r="L2785" s="19"/>
      <c r="M2785" s="19"/>
      <c r="N2785" s="19"/>
      <c r="O2785" s="19"/>
      <c r="P2785" s="19"/>
      <c r="Q2785" s="19"/>
      <c r="R2785" s="20"/>
    </row>
    <row r="2786" spans="1:19" x14ac:dyDescent="0.35">
      <c r="A2786" s="81"/>
      <c r="B2786" s="17"/>
      <c r="C2786" s="17"/>
      <c r="D2786" s="17"/>
      <c r="E2786" s="17"/>
      <c r="F2786" s="17"/>
      <c r="G2786" s="17"/>
      <c r="H2786" s="17"/>
      <c r="I2786" s="17"/>
      <c r="J2786" s="17"/>
      <c r="K2786" s="17"/>
      <c r="L2786" s="17"/>
      <c r="M2786" s="17"/>
      <c r="N2786" s="17"/>
      <c r="O2786" s="17"/>
      <c r="P2786" s="17"/>
      <c r="Q2786" s="17"/>
      <c r="R2786" s="18"/>
      <c r="S2786" s="30"/>
    </row>
    <row r="2787" spans="1:19" x14ac:dyDescent="0.35">
      <c r="A2787" s="82"/>
      <c r="B2787" s="19"/>
      <c r="C2787" s="19"/>
      <c r="D2787" s="19"/>
      <c r="E2787" s="19"/>
      <c r="F2787" s="19"/>
      <c r="G2787" s="19"/>
      <c r="H2787" s="19"/>
      <c r="I2787" s="19"/>
      <c r="J2787" s="19"/>
      <c r="K2787" s="19"/>
      <c r="L2787" s="19"/>
      <c r="M2787" s="19"/>
      <c r="N2787" s="19"/>
      <c r="O2787" s="19"/>
      <c r="P2787" s="19"/>
      <c r="Q2787" s="19"/>
      <c r="R2787" s="20"/>
    </row>
    <row r="2788" spans="1:19" x14ac:dyDescent="0.35">
      <c r="A2788" s="82"/>
      <c r="B2788" s="19"/>
      <c r="C2788" s="19"/>
      <c r="D2788" s="19"/>
      <c r="E2788" s="19"/>
      <c r="F2788" s="19"/>
      <c r="G2788" s="19"/>
      <c r="H2788" s="19"/>
      <c r="I2788" s="19"/>
      <c r="J2788" s="19"/>
      <c r="K2788" s="19"/>
      <c r="L2788" s="19"/>
      <c r="M2788" s="19"/>
      <c r="N2788" s="19"/>
      <c r="O2788" s="19"/>
      <c r="P2788" s="19"/>
      <c r="Q2788" s="19"/>
      <c r="R2788" s="20"/>
    </row>
    <row r="2789" spans="1:19" x14ac:dyDescent="0.35">
      <c r="A2789" s="82"/>
      <c r="B2789" s="19"/>
      <c r="C2789" s="19"/>
      <c r="D2789" s="19"/>
      <c r="E2789" s="19"/>
      <c r="F2789" s="19"/>
      <c r="G2789" s="19"/>
      <c r="H2789" s="19"/>
      <c r="I2789" s="19"/>
      <c r="J2789" s="19"/>
      <c r="K2789" s="19"/>
      <c r="L2789" s="19"/>
      <c r="M2789" s="19"/>
      <c r="N2789" s="19"/>
      <c r="O2789" s="19"/>
      <c r="P2789" s="19"/>
      <c r="Q2789" s="19"/>
      <c r="R2789" s="20"/>
    </row>
    <row r="2790" spans="1:19" x14ac:dyDescent="0.35">
      <c r="A2790" s="81"/>
      <c r="B2790" s="17"/>
      <c r="C2790" s="17"/>
      <c r="D2790" s="17"/>
      <c r="E2790" s="17"/>
      <c r="F2790" s="17"/>
      <c r="G2790" s="17"/>
      <c r="H2790" s="17"/>
      <c r="I2790" s="17"/>
      <c r="J2790" s="17"/>
      <c r="K2790" s="17"/>
      <c r="L2790" s="17"/>
      <c r="M2790" s="17"/>
      <c r="N2790" s="17"/>
      <c r="O2790" s="17"/>
      <c r="P2790" s="17"/>
      <c r="Q2790" s="17"/>
      <c r="R2790" s="18"/>
    </row>
    <row r="2791" spans="1:19" x14ac:dyDescent="0.35">
      <c r="A2791" s="82"/>
      <c r="B2791" s="19"/>
      <c r="C2791" s="19"/>
      <c r="D2791" s="19"/>
      <c r="E2791" s="19"/>
      <c r="F2791" s="19"/>
      <c r="G2791" s="19"/>
      <c r="H2791" s="19"/>
      <c r="I2791" s="19"/>
      <c r="J2791" s="19"/>
      <c r="K2791" s="19"/>
      <c r="L2791" s="19"/>
      <c r="M2791" s="19"/>
      <c r="N2791" s="19"/>
      <c r="O2791" s="19"/>
      <c r="P2791" s="19"/>
      <c r="Q2791" s="19"/>
      <c r="R2791" s="20"/>
    </row>
    <row r="2792" spans="1:19" x14ac:dyDescent="0.35">
      <c r="A2792" s="82"/>
      <c r="B2792" s="19"/>
      <c r="C2792" s="19"/>
      <c r="D2792" s="19"/>
      <c r="E2792" s="19"/>
      <c r="F2792" s="19"/>
      <c r="G2792" s="19"/>
      <c r="H2792" s="19"/>
      <c r="I2792" s="19"/>
      <c r="J2792" s="19"/>
      <c r="K2792" s="19"/>
      <c r="L2792" s="19"/>
      <c r="M2792" s="19"/>
      <c r="N2792" s="19"/>
      <c r="O2792" s="19"/>
      <c r="P2792" s="19"/>
      <c r="Q2792" s="19"/>
      <c r="R2792" s="20"/>
    </row>
    <row r="2793" spans="1:19" x14ac:dyDescent="0.35">
      <c r="A2793" s="81"/>
      <c r="B2793" s="17"/>
      <c r="C2793" s="17"/>
      <c r="D2793" s="17"/>
      <c r="E2793" s="17"/>
      <c r="F2793" s="17"/>
      <c r="G2793" s="17"/>
      <c r="H2793" s="17"/>
      <c r="I2793" s="17"/>
      <c r="J2793" s="17"/>
      <c r="K2793" s="17"/>
      <c r="L2793" s="17"/>
      <c r="M2793" s="17"/>
      <c r="N2793" s="17"/>
      <c r="O2793" s="17"/>
      <c r="P2793" s="17"/>
      <c r="Q2793" s="17"/>
      <c r="R2793" s="18"/>
    </row>
    <row r="2794" spans="1:19" x14ac:dyDescent="0.35">
      <c r="A2794" s="81"/>
      <c r="B2794" s="17"/>
      <c r="C2794" s="17"/>
      <c r="D2794" s="17"/>
      <c r="E2794" s="17"/>
      <c r="F2794" s="17"/>
      <c r="G2794" s="17"/>
      <c r="H2794" s="17"/>
      <c r="I2794" s="17"/>
      <c r="J2794" s="17"/>
      <c r="K2794" s="17"/>
      <c r="L2794" s="19"/>
      <c r="M2794" s="19"/>
      <c r="N2794" s="19"/>
      <c r="O2794" s="17"/>
      <c r="P2794" s="17"/>
      <c r="Q2794" s="17"/>
      <c r="R2794" s="18"/>
    </row>
    <row r="2795" spans="1:19" x14ac:dyDescent="0.35">
      <c r="A2795" s="82"/>
      <c r="B2795" s="19"/>
      <c r="C2795" s="19"/>
      <c r="D2795" s="19"/>
      <c r="E2795" s="19"/>
      <c r="F2795" s="19"/>
      <c r="G2795" s="19"/>
      <c r="H2795" s="19"/>
      <c r="I2795" s="19"/>
      <c r="J2795" s="19"/>
      <c r="K2795" s="19"/>
      <c r="L2795" s="19"/>
      <c r="M2795" s="19"/>
      <c r="N2795" s="19"/>
      <c r="O2795" s="19"/>
      <c r="P2795" s="19"/>
      <c r="Q2795" s="19"/>
      <c r="R2795" s="20"/>
    </row>
    <row r="2796" spans="1:19" x14ac:dyDescent="0.35">
      <c r="A2796" s="81"/>
      <c r="B2796" s="17"/>
      <c r="C2796" s="17"/>
      <c r="D2796" s="17"/>
      <c r="E2796" s="17"/>
      <c r="F2796" s="17"/>
      <c r="G2796" s="17"/>
      <c r="H2796" s="17"/>
      <c r="I2796" s="17"/>
      <c r="J2796" s="17"/>
      <c r="K2796" s="17"/>
      <c r="L2796" s="17"/>
      <c r="M2796" s="17"/>
      <c r="N2796" s="17"/>
      <c r="O2796" s="17"/>
      <c r="P2796" s="17"/>
      <c r="Q2796" s="17"/>
      <c r="R2796" s="18"/>
      <c r="S2796" s="30"/>
    </row>
    <row r="2797" spans="1:19" x14ac:dyDescent="0.35">
      <c r="A2797" s="81"/>
      <c r="B2797" s="17"/>
      <c r="C2797" s="17"/>
      <c r="D2797" s="17"/>
      <c r="E2797" s="17"/>
      <c r="F2797" s="17"/>
      <c r="G2797" s="17"/>
      <c r="H2797" s="17"/>
      <c r="I2797" s="17"/>
      <c r="J2797" s="17"/>
      <c r="K2797" s="17"/>
      <c r="L2797" s="17"/>
      <c r="M2797" s="17"/>
      <c r="N2797" s="17"/>
      <c r="O2797" s="17"/>
      <c r="P2797" s="17"/>
      <c r="Q2797" s="17"/>
      <c r="R2797" s="18"/>
    </row>
    <row r="2798" spans="1:19" x14ac:dyDescent="0.35">
      <c r="A2798" s="81"/>
      <c r="B2798" s="17"/>
      <c r="C2798" s="17"/>
      <c r="D2798" s="17"/>
      <c r="E2798" s="17"/>
      <c r="F2798" s="17"/>
      <c r="G2798" s="17"/>
      <c r="H2798" s="17"/>
      <c r="I2798" s="17"/>
      <c r="J2798" s="17"/>
      <c r="K2798" s="17"/>
      <c r="L2798" s="17"/>
      <c r="M2798" s="17"/>
      <c r="N2798" s="17"/>
      <c r="O2798" s="17"/>
      <c r="P2798" s="17"/>
      <c r="Q2798" s="17"/>
      <c r="R2798" s="18"/>
    </row>
    <row r="2799" spans="1:19" x14ac:dyDescent="0.35">
      <c r="A2799" s="82"/>
      <c r="B2799" s="19"/>
      <c r="C2799" s="19"/>
      <c r="D2799" s="19"/>
      <c r="E2799" s="19"/>
      <c r="F2799" s="19"/>
      <c r="G2799" s="19"/>
      <c r="H2799" s="19"/>
      <c r="I2799" s="19"/>
      <c r="J2799" s="19"/>
      <c r="K2799" s="19"/>
      <c r="L2799" s="19"/>
      <c r="M2799" s="19"/>
      <c r="N2799" s="19"/>
      <c r="O2799" s="19"/>
      <c r="P2799" s="19"/>
      <c r="Q2799" s="19"/>
      <c r="R2799" s="20"/>
    </row>
    <row r="2800" spans="1:19" x14ac:dyDescent="0.35">
      <c r="A2800" s="81"/>
      <c r="B2800" s="17"/>
      <c r="C2800" s="17"/>
      <c r="D2800" s="17"/>
      <c r="E2800" s="17"/>
      <c r="F2800" s="17"/>
      <c r="G2800" s="17"/>
      <c r="H2800" s="17"/>
      <c r="I2800" s="17"/>
      <c r="J2800" s="17"/>
      <c r="K2800" s="17"/>
      <c r="L2800" s="17"/>
      <c r="M2800" s="17"/>
      <c r="N2800" s="17"/>
      <c r="O2800" s="17"/>
      <c r="P2800" s="17"/>
      <c r="Q2800" s="17"/>
      <c r="R2800" s="18"/>
    </row>
    <row r="2801" spans="1:19" x14ac:dyDescent="0.35">
      <c r="A2801" s="82"/>
      <c r="B2801" s="19"/>
      <c r="C2801" s="19"/>
      <c r="D2801" s="19"/>
      <c r="E2801" s="19"/>
      <c r="F2801" s="19"/>
      <c r="G2801" s="19"/>
      <c r="H2801" s="19"/>
      <c r="I2801" s="19"/>
      <c r="J2801" s="19"/>
      <c r="K2801" s="19"/>
      <c r="L2801" s="19"/>
      <c r="M2801" s="19"/>
      <c r="N2801" s="19"/>
      <c r="O2801" s="19"/>
      <c r="P2801" s="19"/>
      <c r="Q2801" s="19"/>
      <c r="R2801" s="20"/>
    </row>
    <row r="2802" spans="1:19" x14ac:dyDescent="0.35">
      <c r="A2802" s="81"/>
      <c r="B2802" s="17"/>
      <c r="C2802" s="17"/>
      <c r="D2802" s="17"/>
      <c r="E2802" s="17"/>
      <c r="F2802" s="17"/>
      <c r="G2802" s="17"/>
      <c r="H2802" s="17"/>
      <c r="I2802" s="17"/>
      <c r="J2802" s="17"/>
      <c r="K2802" s="17"/>
      <c r="L2802" s="17"/>
      <c r="M2802" s="17"/>
      <c r="N2802" s="17"/>
      <c r="O2802" s="17"/>
      <c r="P2802" s="17"/>
      <c r="Q2802" s="17"/>
      <c r="R2802" s="18"/>
    </row>
    <row r="2803" spans="1:19" x14ac:dyDescent="0.35">
      <c r="A2803" s="82"/>
      <c r="B2803" s="19"/>
      <c r="C2803" s="19"/>
      <c r="D2803" s="19"/>
      <c r="E2803" s="19"/>
      <c r="F2803" s="19"/>
      <c r="G2803" s="19"/>
      <c r="H2803" s="19"/>
      <c r="I2803" s="19"/>
      <c r="J2803" s="19"/>
      <c r="K2803" s="19"/>
      <c r="L2803" s="19"/>
      <c r="M2803" s="19"/>
      <c r="N2803" s="19"/>
      <c r="O2803" s="19"/>
      <c r="P2803" s="19"/>
      <c r="Q2803" s="19"/>
      <c r="R2803" s="20"/>
    </row>
    <row r="2804" spans="1:19" x14ac:dyDescent="0.35">
      <c r="A2804" s="82"/>
      <c r="B2804" s="19"/>
      <c r="C2804" s="19"/>
      <c r="D2804" s="19"/>
      <c r="E2804" s="19"/>
      <c r="F2804" s="19"/>
      <c r="G2804" s="19"/>
      <c r="H2804" s="19"/>
      <c r="I2804" s="19"/>
      <c r="J2804" s="19"/>
      <c r="K2804" s="19"/>
      <c r="L2804" s="19"/>
      <c r="M2804" s="19"/>
      <c r="N2804" s="19"/>
      <c r="O2804" s="19"/>
      <c r="P2804" s="19"/>
      <c r="Q2804" s="19"/>
      <c r="R2804" s="20"/>
    </row>
    <row r="2805" spans="1:19" x14ac:dyDescent="0.35">
      <c r="A2805" s="82"/>
      <c r="B2805" s="19"/>
      <c r="C2805" s="19"/>
      <c r="D2805" s="19"/>
      <c r="E2805" s="19"/>
      <c r="F2805" s="19"/>
      <c r="G2805" s="19"/>
      <c r="H2805" s="19"/>
      <c r="I2805" s="19"/>
      <c r="J2805" s="19"/>
      <c r="K2805" s="19"/>
      <c r="L2805" s="19"/>
      <c r="M2805" s="19"/>
      <c r="N2805" s="19"/>
      <c r="O2805" s="19"/>
      <c r="P2805" s="19"/>
      <c r="Q2805" s="19"/>
      <c r="R2805" s="20"/>
    </row>
    <row r="2806" spans="1:19" x14ac:dyDescent="0.35">
      <c r="A2806" s="81"/>
      <c r="B2806" s="17"/>
      <c r="C2806" s="17"/>
      <c r="D2806" s="17"/>
      <c r="E2806" s="17"/>
      <c r="F2806" s="17"/>
      <c r="G2806" s="17"/>
      <c r="H2806" s="17"/>
      <c r="I2806" s="17"/>
      <c r="J2806" s="17"/>
      <c r="K2806" s="17"/>
      <c r="L2806" s="19"/>
      <c r="M2806" s="19"/>
      <c r="N2806" s="19"/>
      <c r="O2806" s="17"/>
      <c r="P2806" s="17"/>
      <c r="Q2806" s="17"/>
      <c r="R2806" s="18"/>
    </row>
    <row r="2807" spans="1:19" x14ac:dyDescent="0.35">
      <c r="A2807" s="82"/>
      <c r="B2807" s="19"/>
      <c r="C2807" s="19"/>
      <c r="D2807" s="19"/>
      <c r="E2807" s="19"/>
      <c r="F2807" s="19"/>
      <c r="G2807" s="19"/>
      <c r="H2807" s="19"/>
      <c r="I2807" s="19"/>
      <c r="J2807" s="19"/>
      <c r="K2807" s="19"/>
      <c r="L2807" s="19"/>
      <c r="M2807" s="19"/>
      <c r="N2807" s="19"/>
      <c r="O2807" s="19"/>
      <c r="P2807" s="19"/>
      <c r="Q2807" s="19"/>
      <c r="R2807" s="20"/>
    </row>
    <row r="2808" spans="1:19" x14ac:dyDescent="0.35">
      <c r="A2808" s="81"/>
      <c r="B2808" s="17"/>
      <c r="C2808" s="17"/>
      <c r="D2808" s="17"/>
      <c r="E2808" s="17"/>
      <c r="F2808" s="17"/>
      <c r="G2808" s="17"/>
      <c r="H2808" s="17"/>
      <c r="I2808" s="17"/>
      <c r="J2808" s="17"/>
      <c r="K2808" s="17"/>
      <c r="L2808" s="17"/>
      <c r="M2808" s="17"/>
      <c r="N2808" s="17"/>
      <c r="O2808" s="17"/>
      <c r="P2808" s="17"/>
      <c r="Q2808" s="17"/>
      <c r="R2808" s="18"/>
      <c r="S2808" s="30"/>
    </row>
    <row r="2809" spans="1:19" x14ac:dyDescent="0.35">
      <c r="A2809" s="81"/>
      <c r="B2809" s="17"/>
      <c r="C2809" s="17"/>
      <c r="D2809" s="17"/>
      <c r="E2809" s="17"/>
      <c r="F2809" s="17"/>
      <c r="G2809" s="17"/>
      <c r="H2809" s="17"/>
      <c r="I2809" s="17"/>
      <c r="J2809" s="17"/>
      <c r="K2809" s="17"/>
      <c r="L2809" s="17"/>
      <c r="M2809" s="17"/>
      <c r="N2809" s="17"/>
      <c r="O2809" s="17"/>
      <c r="P2809" s="17"/>
      <c r="Q2809" s="17"/>
      <c r="R2809" s="18"/>
    </row>
    <row r="2810" spans="1:19" x14ac:dyDescent="0.35">
      <c r="A2810" s="82"/>
      <c r="B2810" s="19"/>
      <c r="C2810" s="19"/>
      <c r="D2810" s="19"/>
      <c r="E2810" s="19"/>
      <c r="F2810" s="19"/>
      <c r="G2810" s="19"/>
      <c r="H2810" s="19"/>
      <c r="I2810" s="19"/>
      <c r="J2810" s="19"/>
      <c r="K2810" s="19"/>
      <c r="L2810" s="19"/>
      <c r="M2810" s="19"/>
      <c r="N2810" s="19"/>
      <c r="O2810" s="19"/>
      <c r="P2810" s="19"/>
      <c r="Q2810" s="19"/>
      <c r="R2810" s="20"/>
    </row>
    <row r="2811" spans="1:19" x14ac:dyDescent="0.35">
      <c r="A2811" s="82"/>
      <c r="B2811" s="19"/>
      <c r="C2811" s="19"/>
      <c r="D2811" s="19"/>
      <c r="E2811" s="19"/>
      <c r="F2811" s="19"/>
      <c r="G2811" s="19"/>
      <c r="H2811" s="19"/>
      <c r="I2811" s="19"/>
      <c r="J2811" s="19"/>
      <c r="K2811" s="19"/>
      <c r="L2811" s="19"/>
      <c r="M2811" s="19"/>
      <c r="N2811" s="19"/>
      <c r="O2811" s="19"/>
      <c r="P2811" s="19"/>
      <c r="Q2811" s="19"/>
      <c r="R2811" s="20"/>
    </row>
    <row r="2812" spans="1:19" x14ac:dyDescent="0.35">
      <c r="A2812" s="82"/>
      <c r="B2812" s="19"/>
      <c r="C2812" s="19"/>
      <c r="D2812" s="19"/>
      <c r="E2812" s="19"/>
      <c r="F2812" s="19"/>
      <c r="G2812" s="19"/>
      <c r="H2812" s="19"/>
      <c r="I2812" s="19"/>
      <c r="J2812" s="19"/>
      <c r="K2812" s="19"/>
      <c r="L2812" s="19"/>
      <c r="M2812" s="19"/>
      <c r="N2812" s="19"/>
      <c r="O2812" s="19"/>
      <c r="P2812" s="19"/>
      <c r="Q2812" s="19"/>
      <c r="R2812" s="20"/>
    </row>
    <row r="2813" spans="1:19" x14ac:dyDescent="0.35">
      <c r="A2813" s="81"/>
      <c r="B2813" s="17"/>
      <c r="C2813" s="17"/>
      <c r="D2813" s="17"/>
      <c r="E2813" s="17"/>
      <c r="F2813" s="17"/>
      <c r="G2813" s="17"/>
      <c r="H2813" s="17"/>
      <c r="I2813" s="17"/>
      <c r="J2813" s="17"/>
      <c r="K2813" s="17"/>
      <c r="L2813" s="17"/>
      <c r="M2813" s="17"/>
      <c r="N2813" s="17"/>
      <c r="O2813" s="17"/>
      <c r="P2813" s="17"/>
      <c r="Q2813" s="17"/>
      <c r="R2813" s="18"/>
      <c r="S2813" s="30"/>
    </row>
    <row r="2814" spans="1:19" x14ac:dyDescent="0.35">
      <c r="A2814" s="81"/>
      <c r="B2814" s="17"/>
      <c r="C2814" s="17"/>
      <c r="D2814" s="17"/>
      <c r="E2814" s="17"/>
      <c r="F2814" s="17"/>
      <c r="G2814" s="17"/>
      <c r="H2814" s="17"/>
      <c r="I2814" s="17"/>
      <c r="J2814" s="17"/>
      <c r="K2814" s="17"/>
      <c r="L2814" s="17"/>
      <c r="M2814" s="17"/>
      <c r="N2814" s="17"/>
      <c r="O2814" s="17"/>
      <c r="P2814" s="17"/>
      <c r="Q2814" s="17"/>
      <c r="R2814" s="18"/>
      <c r="S2814" s="30"/>
    </row>
    <row r="2815" spans="1:19" x14ac:dyDescent="0.35">
      <c r="A2815" s="82"/>
      <c r="B2815" s="19"/>
      <c r="C2815" s="19"/>
      <c r="D2815" s="19"/>
      <c r="E2815" s="19"/>
      <c r="F2815" s="19"/>
      <c r="G2815" s="19"/>
      <c r="H2815" s="19"/>
      <c r="I2815" s="19"/>
      <c r="J2815" s="19"/>
      <c r="K2815" s="19"/>
      <c r="L2815" s="19"/>
      <c r="M2815" s="19"/>
      <c r="N2815" s="19"/>
      <c r="O2815" s="19"/>
      <c r="P2815" s="19"/>
      <c r="Q2815" s="19"/>
      <c r="R2815" s="20"/>
    </row>
    <row r="2816" spans="1:19" x14ac:dyDescent="0.35">
      <c r="A2816" s="82"/>
      <c r="B2816" s="19"/>
      <c r="C2816" s="19"/>
      <c r="D2816" s="19"/>
      <c r="E2816" s="19"/>
      <c r="F2816" s="19"/>
      <c r="G2816" s="19"/>
      <c r="H2816" s="19"/>
      <c r="I2816" s="19"/>
      <c r="J2816" s="19"/>
      <c r="K2816" s="19"/>
      <c r="L2816" s="19"/>
      <c r="M2816" s="19"/>
      <c r="N2816" s="19"/>
      <c r="O2816" s="19"/>
      <c r="P2816" s="19"/>
      <c r="Q2816" s="19"/>
      <c r="R2816" s="20"/>
    </row>
    <row r="2817" spans="1:19" x14ac:dyDescent="0.35">
      <c r="A2817" s="82"/>
      <c r="B2817" s="19"/>
      <c r="C2817" s="19"/>
      <c r="D2817" s="19"/>
      <c r="E2817" s="19"/>
      <c r="F2817" s="19"/>
      <c r="G2817" s="19"/>
      <c r="H2817" s="19"/>
      <c r="I2817" s="19"/>
      <c r="J2817" s="19"/>
      <c r="K2817" s="19"/>
      <c r="L2817" s="19"/>
      <c r="M2817" s="19"/>
      <c r="N2817" s="19"/>
      <c r="O2817" s="19"/>
      <c r="P2817" s="19"/>
      <c r="Q2817" s="19"/>
      <c r="R2817" s="20"/>
    </row>
    <row r="2818" spans="1:19" x14ac:dyDescent="0.35">
      <c r="A2818" s="82"/>
      <c r="B2818" s="19"/>
      <c r="C2818" s="19"/>
      <c r="D2818" s="19"/>
      <c r="E2818" s="19"/>
      <c r="F2818" s="19"/>
      <c r="G2818" s="19"/>
      <c r="H2818" s="19"/>
      <c r="I2818" s="19"/>
      <c r="J2818" s="19"/>
      <c r="K2818" s="19"/>
      <c r="L2818" s="19"/>
      <c r="M2818" s="19"/>
      <c r="N2818" s="19"/>
      <c r="O2818" s="19"/>
      <c r="P2818" s="19"/>
      <c r="Q2818" s="19"/>
      <c r="R2818" s="20"/>
    </row>
    <row r="2819" spans="1:19" x14ac:dyDescent="0.35">
      <c r="A2819" s="82"/>
      <c r="B2819" s="19"/>
      <c r="C2819" s="19"/>
      <c r="D2819" s="19"/>
      <c r="E2819" s="19"/>
      <c r="F2819" s="19"/>
      <c r="G2819" s="19"/>
      <c r="H2819" s="19"/>
      <c r="I2819" s="19"/>
      <c r="J2819" s="19"/>
      <c r="K2819" s="19"/>
      <c r="L2819" s="19"/>
      <c r="M2819" s="19"/>
      <c r="N2819" s="19"/>
      <c r="O2819" s="19"/>
      <c r="P2819" s="19"/>
      <c r="Q2819" s="19"/>
      <c r="R2819" s="20"/>
    </row>
    <row r="2820" spans="1:19" x14ac:dyDescent="0.35">
      <c r="A2820" s="82"/>
      <c r="B2820" s="19"/>
      <c r="C2820" s="19"/>
      <c r="D2820" s="19"/>
      <c r="E2820" s="19"/>
      <c r="F2820" s="19"/>
      <c r="G2820" s="19"/>
      <c r="H2820" s="19"/>
      <c r="I2820" s="19"/>
      <c r="J2820" s="19"/>
      <c r="K2820" s="19"/>
      <c r="L2820" s="19"/>
      <c r="M2820" s="19"/>
      <c r="N2820" s="19"/>
      <c r="O2820" s="19"/>
      <c r="P2820" s="19"/>
      <c r="Q2820" s="19"/>
      <c r="R2820" s="20"/>
    </row>
    <row r="2821" spans="1:19" x14ac:dyDescent="0.35">
      <c r="A2821" s="82"/>
      <c r="B2821" s="19"/>
      <c r="C2821" s="19"/>
      <c r="D2821" s="19"/>
      <c r="E2821" s="19"/>
      <c r="F2821" s="19"/>
      <c r="G2821" s="19"/>
      <c r="H2821" s="19"/>
      <c r="I2821" s="19"/>
      <c r="J2821" s="19"/>
      <c r="K2821" s="19"/>
      <c r="L2821" s="19"/>
      <c r="M2821" s="19"/>
      <c r="N2821" s="19"/>
      <c r="O2821" s="19"/>
      <c r="P2821" s="19"/>
      <c r="Q2821" s="19"/>
      <c r="R2821" s="20"/>
    </row>
    <row r="2822" spans="1:19" x14ac:dyDescent="0.35">
      <c r="A2822" s="82"/>
      <c r="B2822" s="19"/>
      <c r="C2822" s="19"/>
      <c r="D2822" s="19"/>
      <c r="E2822" s="19"/>
      <c r="F2822" s="19"/>
      <c r="G2822" s="19"/>
      <c r="H2822" s="19"/>
      <c r="I2822" s="19"/>
      <c r="J2822" s="19"/>
      <c r="K2822" s="19"/>
      <c r="L2822" s="19"/>
      <c r="M2822" s="19"/>
      <c r="N2822" s="19"/>
      <c r="O2822" s="19"/>
      <c r="P2822" s="19"/>
      <c r="Q2822" s="19"/>
      <c r="R2822" s="20"/>
    </row>
    <row r="2823" spans="1:19" x14ac:dyDescent="0.35">
      <c r="A2823" s="82"/>
      <c r="B2823" s="19"/>
      <c r="C2823" s="19"/>
      <c r="D2823" s="19"/>
      <c r="E2823" s="19"/>
      <c r="F2823" s="19"/>
      <c r="G2823" s="19"/>
      <c r="H2823" s="19"/>
      <c r="I2823" s="19"/>
      <c r="J2823" s="19"/>
      <c r="K2823" s="19"/>
      <c r="L2823" s="19"/>
      <c r="M2823" s="19"/>
      <c r="N2823" s="19"/>
      <c r="O2823" s="19"/>
      <c r="P2823" s="19"/>
      <c r="Q2823" s="19"/>
      <c r="R2823" s="20"/>
    </row>
    <row r="2824" spans="1:19" x14ac:dyDescent="0.35">
      <c r="A2824" s="81"/>
      <c r="B2824" s="17"/>
      <c r="C2824" s="17"/>
      <c r="D2824" s="17"/>
      <c r="E2824" s="17"/>
      <c r="F2824" s="17"/>
      <c r="G2824" s="17"/>
      <c r="H2824" s="17"/>
      <c r="I2824" s="17"/>
      <c r="J2824" s="17"/>
      <c r="K2824" s="17"/>
      <c r="L2824" s="17"/>
      <c r="M2824" s="17"/>
      <c r="N2824" s="17"/>
      <c r="O2824" s="17"/>
      <c r="P2824" s="17"/>
      <c r="Q2824" s="17"/>
      <c r="R2824" s="18"/>
      <c r="S2824" s="30"/>
    </row>
    <row r="2825" spans="1:19" x14ac:dyDescent="0.35">
      <c r="A2825" s="81"/>
      <c r="B2825" s="17"/>
      <c r="C2825" s="17"/>
      <c r="D2825" s="17"/>
      <c r="E2825" s="17"/>
      <c r="F2825" s="17"/>
      <c r="G2825" s="17"/>
      <c r="H2825" s="17"/>
      <c r="I2825" s="17"/>
      <c r="J2825" s="17"/>
      <c r="K2825" s="17"/>
      <c r="L2825" s="17"/>
      <c r="M2825" s="17"/>
      <c r="N2825" s="17"/>
      <c r="O2825" s="17"/>
      <c r="P2825" s="17"/>
      <c r="Q2825" s="17"/>
      <c r="R2825" s="18"/>
    </row>
    <row r="2826" spans="1:19" x14ac:dyDescent="0.35">
      <c r="A2826" s="81"/>
      <c r="B2826" s="17"/>
      <c r="C2826" s="17"/>
      <c r="D2826" s="17"/>
      <c r="E2826" s="17"/>
      <c r="F2826" s="17"/>
      <c r="G2826" s="17"/>
      <c r="H2826" s="17"/>
      <c r="I2826" s="17"/>
      <c r="J2826" s="17"/>
      <c r="K2826" s="17"/>
      <c r="L2826" s="17"/>
      <c r="M2826" s="17"/>
      <c r="N2826" s="17"/>
      <c r="O2826" s="17"/>
      <c r="P2826" s="17"/>
      <c r="Q2826" s="17"/>
      <c r="R2826" s="18"/>
      <c r="S2826" s="30"/>
    </row>
    <row r="2827" spans="1:19" x14ac:dyDescent="0.35">
      <c r="A2827" s="81"/>
      <c r="B2827" s="17"/>
      <c r="C2827" s="17"/>
      <c r="D2827" s="17"/>
      <c r="E2827" s="17"/>
      <c r="F2827" s="17"/>
      <c r="G2827" s="17"/>
      <c r="H2827" s="17"/>
      <c r="I2827" s="17"/>
      <c r="J2827" s="17"/>
      <c r="K2827" s="17"/>
      <c r="L2827" s="17"/>
      <c r="M2827" s="17"/>
      <c r="N2827" s="17"/>
      <c r="O2827" s="17"/>
      <c r="P2827" s="17"/>
      <c r="Q2827" s="17"/>
      <c r="R2827" s="18"/>
    </row>
    <row r="2828" spans="1:19" x14ac:dyDescent="0.35">
      <c r="A2828" s="82"/>
      <c r="B2828" s="19"/>
      <c r="C2828" s="19"/>
      <c r="D2828" s="19"/>
      <c r="E2828" s="19"/>
      <c r="F2828" s="19"/>
      <c r="G2828" s="19"/>
      <c r="H2828" s="19"/>
      <c r="I2828" s="19"/>
      <c r="J2828" s="19"/>
      <c r="K2828" s="19"/>
      <c r="L2828" s="19"/>
      <c r="M2828" s="19"/>
      <c r="N2828" s="19"/>
      <c r="O2828" s="19"/>
      <c r="P2828" s="19"/>
      <c r="Q2828" s="19"/>
      <c r="R2828" s="20"/>
    </row>
    <row r="2829" spans="1:19" x14ac:dyDescent="0.35">
      <c r="A2829" s="82"/>
      <c r="B2829" s="19"/>
      <c r="C2829" s="19"/>
      <c r="D2829" s="19"/>
      <c r="E2829" s="19"/>
      <c r="F2829" s="19"/>
      <c r="G2829" s="19"/>
      <c r="H2829" s="19"/>
      <c r="I2829" s="19"/>
      <c r="J2829" s="19"/>
      <c r="K2829" s="19"/>
      <c r="L2829" s="19"/>
      <c r="M2829" s="19"/>
      <c r="N2829" s="19"/>
      <c r="O2829" s="19"/>
      <c r="P2829" s="19"/>
      <c r="Q2829" s="19"/>
      <c r="R2829" s="20"/>
    </row>
    <row r="2830" spans="1:19" x14ac:dyDescent="0.35">
      <c r="A2830" s="82"/>
      <c r="B2830" s="19"/>
      <c r="C2830" s="19"/>
      <c r="D2830" s="19"/>
      <c r="E2830" s="19"/>
      <c r="F2830" s="19"/>
      <c r="G2830" s="19"/>
      <c r="H2830" s="19"/>
      <c r="I2830" s="19"/>
      <c r="J2830" s="19"/>
      <c r="K2830" s="19"/>
      <c r="L2830" s="19"/>
      <c r="M2830" s="19"/>
      <c r="N2830" s="19"/>
      <c r="O2830" s="19"/>
      <c r="P2830" s="19"/>
      <c r="Q2830" s="19"/>
      <c r="R2830" s="20"/>
    </row>
    <row r="2831" spans="1:19" x14ac:dyDescent="0.35">
      <c r="A2831" s="81"/>
      <c r="B2831" s="17"/>
      <c r="C2831" s="17"/>
      <c r="D2831" s="17"/>
      <c r="E2831" s="17"/>
      <c r="F2831" s="17"/>
      <c r="G2831" s="17"/>
      <c r="H2831" s="17"/>
      <c r="I2831" s="17"/>
      <c r="J2831" s="17"/>
      <c r="K2831" s="17"/>
      <c r="L2831" s="17"/>
      <c r="M2831" s="17"/>
      <c r="N2831" s="17"/>
      <c r="O2831" s="17"/>
      <c r="P2831" s="17"/>
      <c r="Q2831" s="17"/>
      <c r="R2831" s="18"/>
    </row>
    <row r="2832" spans="1:19" x14ac:dyDescent="0.35">
      <c r="A2832" s="81"/>
      <c r="B2832" s="17"/>
      <c r="C2832" s="17"/>
      <c r="D2832" s="17"/>
      <c r="E2832" s="17"/>
      <c r="F2832" s="17"/>
      <c r="G2832" s="17"/>
      <c r="H2832" s="17"/>
      <c r="I2832" s="17"/>
      <c r="J2832" s="17"/>
      <c r="K2832" s="17"/>
      <c r="L2832" s="17"/>
      <c r="M2832" s="17"/>
      <c r="N2832" s="17"/>
      <c r="O2832" s="17"/>
      <c r="P2832" s="17"/>
      <c r="Q2832" s="17"/>
      <c r="R2832" s="18"/>
    </row>
    <row r="2833" spans="1:18" x14ac:dyDescent="0.35">
      <c r="A2833" s="82"/>
      <c r="B2833" s="19"/>
      <c r="C2833" s="19"/>
      <c r="D2833" s="19"/>
      <c r="E2833" s="19"/>
      <c r="F2833" s="19"/>
      <c r="G2833" s="19"/>
      <c r="H2833" s="19"/>
      <c r="I2833" s="19"/>
      <c r="J2833" s="19"/>
      <c r="K2833" s="19"/>
      <c r="L2833" s="19"/>
      <c r="M2833" s="19"/>
      <c r="N2833" s="19"/>
      <c r="O2833" s="19"/>
      <c r="P2833" s="19"/>
      <c r="Q2833" s="19"/>
      <c r="R2833" s="20"/>
    </row>
    <row r="2834" spans="1:18" x14ac:dyDescent="0.35">
      <c r="A2834" s="81"/>
      <c r="B2834" s="17"/>
      <c r="C2834" s="17"/>
      <c r="D2834" s="17"/>
      <c r="E2834" s="17"/>
      <c r="F2834" s="17"/>
      <c r="G2834" s="17"/>
      <c r="H2834" s="17"/>
      <c r="I2834" s="17"/>
      <c r="J2834" s="17"/>
      <c r="K2834" s="17"/>
      <c r="L2834" s="17"/>
      <c r="M2834" s="17"/>
      <c r="N2834" s="17"/>
      <c r="O2834" s="17"/>
      <c r="P2834" s="17"/>
      <c r="Q2834" s="17"/>
      <c r="R2834" s="18"/>
    </row>
    <row r="2835" spans="1:18" x14ac:dyDescent="0.35">
      <c r="A2835" s="82"/>
      <c r="B2835" s="19"/>
      <c r="C2835" s="19"/>
      <c r="D2835" s="19"/>
      <c r="E2835" s="19"/>
      <c r="F2835" s="19"/>
      <c r="G2835" s="19"/>
      <c r="H2835" s="19"/>
      <c r="I2835" s="19"/>
      <c r="J2835" s="19"/>
      <c r="K2835" s="19"/>
      <c r="L2835" s="19"/>
      <c r="M2835" s="19"/>
      <c r="N2835" s="19"/>
      <c r="O2835" s="19"/>
      <c r="P2835" s="19"/>
      <c r="Q2835" s="19"/>
      <c r="R2835" s="20"/>
    </row>
    <row r="2836" spans="1:18" x14ac:dyDescent="0.35">
      <c r="A2836" s="82"/>
      <c r="B2836" s="19"/>
      <c r="C2836" s="19"/>
      <c r="D2836" s="19"/>
      <c r="E2836" s="19"/>
      <c r="F2836" s="19"/>
      <c r="G2836" s="19"/>
      <c r="H2836" s="19"/>
      <c r="I2836" s="19"/>
      <c r="J2836" s="19"/>
      <c r="K2836" s="19"/>
      <c r="L2836" s="19"/>
      <c r="M2836" s="19"/>
      <c r="N2836" s="19"/>
      <c r="O2836" s="19"/>
      <c r="P2836" s="19"/>
      <c r="Q2836" s="19"/>
      <c r="R2836" s="20"/>
    </row>
    <row r="2837" spans="1:18" x14ac:dyDescent="0.35">
      <c r="A2837" s="82"/>
      <c r="B2837" s="19"/>
      <c r="C2837" s="19"/>
      <c r="D2837" s="19"/>
      <c r="E2837" s="19"/>
      <c r="F2837" s="19"/>
      <c r="G2837" s="19"/>
      <c r="H2837" s="19"/>
      <c r="I2837" s="19"/>
      <c r="J2837" s="19"/>
      <c r="K2837" s="19"/>
      <c r="L2837" s="19"/>
      <c r="M2837" s="19"/>
      <c r="N2837" s="19"/>
      <c r="O2837" s="19"/>
      <c r="P2837" s="19"/>
      <c r="Q2837" s="19"/>
      <c r="R2837" s="20"/>
    </row>
    <row r="2838" spans="1:18" x14ac:dyDescent="0.35">
      <c r="A2838" s="82"/>
      <c r="B2838" s="19"/>
      <c r="C2838" s="19"/>
      <c r="D2838" s="19"/>
      <c r="E2838" s="19"/>
      <c r="F2838" s="19"/>
      <c r="G2838" s="19"/>
      <c r="H2838" s="19"/>
      <c r="I2838" s="19"/>
      <c r="J2838" s="19"/>
      <c r="K2838" s="19"/>
      <c r="L2838" s="19"/>
      <c r="M2838" s="19"/>
      <c r="N2838" s="19"/>
      <c r="O2838" s="19"/>
      <c r="P2838" s="19"/>
      <c r="Q2838" s="19"/>
      <c r="R2838" s="20"/>
    </row>
    <row r="2839" spans="1:18" x14ac:dyDescent="0.35">
      <c r="A2839" s="81"/>
      <c r="B2839" s="17"/>
      <c r="C2839" s="17"/>
      <c r="D2839" s="17"/>
      <c r="E2839" s="17"/>
      <c r="F2839" s="17"/>
      <c r="G2839" s="17"/>
      <c r="H2839" s="17"/>
      <c r="I2839" s="17"/>
      <c r="J2839" s="17"/>
      <c r="K2839" s="17"/>
      <c r="L2839" s="17"/>
      <c r="M2839" s="17"/>
      <c r="N2839" s="17"/>
      <c r="O2839" s="17"/>
      <c r="P2839" s="17"/>
      <c r="Q2839" s="17"/>
      <c r="R2839" s="18"/>
    </row>
    <row r="2840" spans="1:18" x14ac:dyDescent="0.35">
      <c r="A2840" s="81"/>
      <c r="B2840" s="17"/>
      <c r="C2840" s="17"/>
      <c r="D2840" s="17"/>
      <c r="E2840" s="17"/>
      <c r="F2840" s="17"/>
      <c r="G2840" s="17"/>
      <c r="H2840" s="17"/>
      <c r="I2840" s="17"/>
      <c r="J2840" s="17"/>
      <c r="K2840" s="17"/>
      <c r="L2840" s="19"/>
      <c r="M2840" s="19"/>
      <c r="N2840" s="19"/>
      <c r="O2840" s="17"/>
      <c r="P2840" s="17"/>
      <c r="Q2840" s="17"/>
      <c r="R2840" s="18"/>
    </row>
    <row r="2841" spans="1:18" x14ac:dyDescent="0.35">
      <c r="A2841" s="82"/>
      <c r="B2841" s="19"/>
      <c r="C2841" s="19"/>
      <c r="D2841" s="19"/>
      <c r="E2841" s="19"/>
      <c r="F2841" s="19"/>
      <c r="G2841" s="19"/>
      <c r="H2841" s="19"/>
      <c r="I2841" s="19"/>
      <c r="J2841" s="19"/>
      <c r="K2841" s="19"/>
      <c r="L2841" s="19"/>
      <c r="M2841" s="19"/>
      <c r="N2841" s="19"/>
      <c r="O2841" s="19"/>
      <c r="P2841" s="19"/>
      <c r="Q2841" s="19"/>
      <c r="R2841" s="20"/>
    </row>
    <row r="2842" spans="1:18" x14ac:dyDescent="0.35">
      <c r="A2842" s="82"/>
      <c r="B2842" s="19"/>
      <c r="C2842" s="19"/>
      <c r="D2842" s="19"/>
      <c r="E2842" s="19"/>
      <c r="F2842" s="19"/>
      <c r="G2842" s="19"/>
      <c r="H2842" s="19"/>
      <c r="I2842" s="19"/>
      <c r="J2842" s="19"/>
      <c r="K2842" s="19"/>
      <c r="L2842" s="19"/>
      <c r="M2842" s="19"/>
      <c r="N2842" s="19"/>
      <c r="O2842" s="19"/>
      <c r="P2842" s="19"/>
      <c r="Q2842" s="19"/>
      <c r="R2842" s="20"/>
    </row>
    <row r="2843" spans="1:18" x14ac:dyDescent="0.35">
      <c r="A2843" s="82"/>
      <c r="B2843" s="19"/>
      <c r="C2843" s="19"/>
      <c r="D2843" s="19"/>
      <c r="E2843" s="19"/>
      <c r="F2843" s="19"/>
      <c r="G2843" s="19"/>
      <c r="H2843" s="19"/>
      <c r="I2843" s="19"/>
      <c r="J2843" s="19"/>
      <c r="K2843" s="19"/>
      <c r="L2843" s="19"/>
      <c r="M2843" s="19"/>
      <c r="N2843" s="19"/>
      <c r="O2843" s="19"/>
      <c r="P2843" s="19"/>
      <c r="Q2843" s="19"/>
      <c r="R2843" s="20"/>
    </row>
    <row r="2844" spans="1:18" x14ac:dyDescent="0.35">
      <c r="A2844" s="82"/>
      <c r="B2844" s="19"/>
      <c r="C2844" s="19"/>
      <c r="D2844" s="19"/>
      <c r="E2844" s="19"/>
      <c r="F2844" s="19"/>
      <c r="G2844" s="19"/>
      <c r="H2844" s="19"/>
      <c r="I2844" s="19"/>
      <c r="J2844" s="19"/>
      <c r="K2844" s="19"/>
      <c r="L2844" s="19"/>
      <c r="M2844" s="19"/>
      <c r="N2844" s="19"/>
      <c r="O2844" s="19"/>
      <c r="P2844" s="19"/>
      <c r="Q2844" s="19"/>
      <c r="R2844" s="20"/>
    </row>
    <row r="2845" spans="1:18" x14ac:dyDescent="0.35">
      <c r="A2845" s="82"/>
      <c r="B2845" s="19"/>
      <c r="C2845" s="19"/>
      <c r="D2845" s="19"/>
      <c r="E2845" s="19"/>
      <c r="F2845" s="19"/>
      <c r="G2845" s="19"/>
      <c r="H2845" s="19"/>
      <c r="I2845" s="19"/>
      <c r="J2845" s="19"/>
      <c r="K2845" s="19"/>
      <c r="L2845" s="19"/>
      <c r="M2845" s="19"/>
      <c r="N2845" s="19"/>
      <c r="O2845" s="19"/>
      <c r="P2845" s="19"/>
      <c r="Q2845" s="19"/>
      <c r="R2845" s="20"/>
    </row>
    <row r="2846" spans="1:18" x14ac:dyDescent="0.35">
      <c r="A2846" s="82"/>
      <c r="B2846" s="19"/>
      <c r="C2846" s="19"/>
      <c r="D2846" s="19"/>
      <c r="E2846" s="19"/>
      <c r="F2846" s="19"/>
      <c r="G2846" s="19"/>
      <c r="H2846" s="19"/>
      <c r="I2846" s="19"/>
      <c r="J2846" s="19"/>
      <c r="K2846" s="19"/>
      <c r="L2846" s="19"/>
      <c r="M2846" s="19"/>
      <c r="N2846" s="19"/>
      <c r="O2846" s="19"/>
      <c r="P2846" s="19"/>
      <c r="Q2846" s="19"/>
      <c r="R2846" s="20"/>
    </row>
    <row r="2847" spans="1:18" x14ac:dyDescent="0.35">
      <c r="A2847" s="81"/>
      <c r="B2847" s="17"/>
      <c r="C2847" s="17"/>
      <c r="D2847" s="17"/>
      <c r="E2847" s="17"/>
      <c r="F2847" s="17"/>
      <c r="G2847" s="17"/>
      <c r="H2847" s="17"/>
      <c r="I2847" s="17"/>
      <c r="J2847" s="17"/>
      <c r="K2847" s="17"/>
      <c r="L2847" s="17"/>
      <c r="M2847" s="17"/>
      <c r="N2847" s="17"/>
      <c r="O2847" s="17"/>
      <c r="P2847" s="17"/>
      <c r="Q2847" s="17"/>
      <c r="R2847" s="18"/>
    </row>
    <row r="2848" spans="1:18" x14ac:dyDescent="0.35">
      <c r="A2848" s="82"/>
      <c r="B2848" s="19"/>
      <c r="C2848" s="19"/>
      <c r="D2848" s="19"/>
      <c r="E2848" s="19"/>
      <c r="F2848" s="19"/>
      <c r="G2848" s="19"/>
      <c r="H2848" s="19"/>
      <c r="I2848" s="19"/>
      <c r="J2848" s="19"/>
      <c r="K2848" s="19"/>
      <c r="L2848" s="19"/>
      <c r="M2848" s="19"/>
      <c r="N2848" s="19"/>
      <c r="O2848" s="19"/>
      <c r="P2848" s="19"/>
      <c r="Q2848" s="19"/>
      <c r="R2848" s="20"/>
    </row>
    <row r="2849" spans="1:18" x14ac:dyDescent="0.35">
      <c r="A2849" s="82"/>
      <c r="B2849" s="19"/>
      <c r="C2849" s="19"/>
      <c r="D2849" s="19"/>
      <c r="E2849" s="19"/>
      <c r="F2849" s="19"/>
      <c r="G2849" s="19"/>
      <c r="H2849" s="19"/>
      <c r="I2849" s="19"/>
      <c r="J2849" s="19"/>
      <c r="K2849" s="19"/>
      <c r="L2849" s="19"/>
      <c r="M2849" s="19"/>
      <c r="N2849" s="19"/>
      <c r="O2849" s="19"/>
      <c r="P2849" s="19"/>
      <c r="Q2849" s="19"/>
      <c r="R2849" s="20"/>
    </row>
    <row r="2850" spans="1:18" x14ac:dyDescent="0.35">
      <c r="A2850" s="81"/>
      <c r="B2850" s="17"/>
      <c r="C2850" s="17"/>
      <c r="D2850" s="17"/>
      <c r="E2850" s="17"/>
      <c r="F2850" s="17"/>
      <c r="G2850" s="17"/>
      <c r="H2850" s="17"/>
      <c r="I2850" s="17"/>
      <c r="J2850" s="17"/>
      <c r="K2850" s="17"/>
      <c r="L2850" s="17"/>
      <c r="M2850" s="17"/>
      <c r="N2850" s="17"/>
      <c r="O2850" s="17"/>
      <c r="P2850" s="17"/>
      <c r="Q2850" s="17"/>
      <c r="R2850" s="18"/>
    </row>
    <row r="2851" spans="1:18" x14ac:dyDescent="0.35">
      <c r="A2851" s="82"/>
      <c r="B2851" s="19"/>
      <c r="C2851" s="19"/>
      <c r="D2851" s="19"/>
      <c r="E2851" s="19"/>
      <c r="F2851" s="19"/>
      <c r="G2851" s="19"/>
      <c r="H2851" s="19"/>
      <c r="I2851" s="19"/>
      <c r="J2851" s="19"/>
      <c r="K2851" s="19"/>
      <c r="L2851" s="19"/>
      <c r="M2851" s="19"/>
      <c r="N2851" s="19"/>
      <c r="O2851" s="19"/>
      <c r="P2851" s="19"/>
      <c r="Q2851" s="19"/>
      <c r="R2851" s="20"/>
    </row>
    <row r="2852" spans="1:18" x14ac:dyDescent="0.35">
      <c r="A2852" s="81"/>
      <c r="B2852" s="17"/>
      <c r="C2852" s="17"/>
      <c r="D2852" s="17"/>
      <c r="E2852" s="17"/>
      <c r="F2852" s="17"/>
      <c r="G2852" s="17"/>
      <c r="H2852" s="17"/>
      <c r="I2852" s="17"/>
      <c r="J2852" s="17"/>
      <c r="K2852" s="17"/>
      <c r="L2852" s="17"/>
      <c r="M2852" s="17"/>
      <c r="N2852" s="17"/>
      <c r="O2852" s="17"/>
      <c r="P2852" s="17"/>
      <c r="Q2852" s="17"/>
      <c r="R2852" s="18"/>
    </row>
    <row r="2853" spans="1:18" x14ac:dyDescent="0.35">
      <c r="A2853" s="82"/>
      <c r="B2853" s="19"/>
      <c r="C2853" s="19"/>
      <c r="D2853" s="19"/>
      <c r="E2853" s="19"/>
      <c r="F2853" s="19"/>
      <c r="G2853" s="19"/>
      <c r="H2853" s="19"/>
      <c r="I2853" s="19"/>
      <c r="J2853" s="19"/>
      <c r="K2853" s="19"/>
      <c r="L2853" s="19"/>
      <c r="M2853" s="19"/>
      <c r="N2853" s="19"/>
      <c r="O2853" s="19"/>
      <c r="P2853" s="19"/>
      <c r="Q2853" s="19"/>
      <c r="R2853" s="20"/>
    </row>
    <row r="2854" spans="1:18" x14ac:dyDescent="0.35">
      <c r="A2854" s="81"/>
      <c r="B2854" s="17"/>
      <c r="C2854" s="17"/>
      <c r="D2854" s="17"/>
      <c r="E2854" s="17"/>
      <c r="F2854" s="17"/>
      <c r="G2854" s="17"/>
      <c r="H2854" s="17"/>
      <c r="I2854" s="17"/>
      <c r="J2854" s="17"/>
      <c r="K2854" s="17"/>
      <c r="L2854" s="17"/>
      <c r="M2854" s="17"/>
      <c r="N2854" s="17"/>
      <c r="O2854" s="17"/>
      <c r="P2854" s="17"/>
      <c r="Q2854" s="17"/>
      <c r="R2854" s="18"/>
    </row>
    <row r="2855" spans="1:18" x14ac:dyDescent="0.35">
      <c r="A2855" s="82"/>
      <c r="B2855" s="19"/>
      <c r="C2855" s="19"/>
      <c r="D2855" s="19"/>
      <c r="E2855" s="19"/>
      <c r="F2855" s="19"/>
      <c r="G2855" s="19"/>
      <c r="H2855" s="19"/>
      <c r="I2855" s="19"/>
      <c r="J2855" s="19"/>
      <c r="K2855" s="19"/>
      <c r="L2855" s="19"/>
      <c r="M2855" s="19"/>
      <c r="N2855" s="19"/>
      <c r="O2855" s="19"/>
      <c r="P2855" s="19"/>
      <c r="Q2855" s="19"/>
      <c r="R2855" s="20"/>
    </row>
    <row r="2856" spans="1:18" x14ac:dyDescent="0.35">
      <c r="A2856" s="82"/>
      <c r="B2856" s="19"/>
      <c r="C2856" s="19"/>
      <c r="D2856" s="19"/>
      <c r="E2856" s="19"/>
      <c r="F2856" s="19"/>
      <c r="G2856" s="19"/>
      <c r="H2856" s="19"/>
      <c r="I2856" s="19"/>
      <c r="J2856" s="19"/>
      <c r="K2856" s="19"/>
      <c r="L2856" s="19"/>
      <c r="M2856" s="19"/>
      <c r="N2856" s="19"/>
      <c r="O2856" s="19"/>
      <c r="P2856" s="19"/>
      <c r="Q2856" s="19"/>
      <c r="R2856" s="20"/>
    </row>
    <row r="2857" spans="1:18" x14ac:dyDescent="0.35">
      <c r="A2857" s="82"/>
      <c r="B2857" s="19"/>
      <c r="C2857" s="19"/>
      <c r="D2857" s="19"/>
      <c r="E2857" s="19"/>
      <c r="F2857" s="19"/>
      <c r="G2857" s="19"/>
      <c r="H2857" s="19"/>
      <c r="I2857" s="19"/>
      <c r="J2857" s="19"/>
      <c r="K2857" s="19"/>
      <c r="L2857" s="19"/>
      <c r="M2857" s="19"/>
      <c r="N2857" s="19"/>
      <c r="O2857" s="19"/>
      <c r="P2857" s="19"/>
      <c r="Q2857" s="19"/>
      <c r="R2857" s="20"/>
    </row>
    <row r="2858" spans="1:18" x14ac:dyDescent="0.35">
      <c r="A2858" s="82"/>
      <c r="B2858" s="19"/>
      <c r="C2858" s="19"/>
      <c r="D2858" s="19"/>
      <c r="E2858" s="19"/>
      <c r="F2858" s="19"/>
      <c r="G2858" s="19"/>
      <c r="H2858" s="19"/>
      <c r="I2858" s="19"/>
      <c r="J2858" s="19"/>
      <c r="K2858" s="19"/>
      <c r="L2858" s="19"/>
      <c r="M2858" s="19"/>
      <c r="N2858" s="19"/>
      <c r="O2858" s="19"/>
      <c r="P2858" s="19"/>
      <c r="Q2858" s="19"/>
      <c r="R2858" s="20"/>
    </row>
    <row r="2859" spans="1:18" x14ac:dyDescent="0.35">
      <c r="A2859" s="81"/>
      <c r="B2859" s="17"/>
      <c r="C2859" s="17"/>
      <c r="D2859" s="17"/>
      <c r="E2859" s="17"/>
      <c r="F2859" s="17"/>
      <c r="G2859" s="17"/>
      <c r="H2859" s="17"/>
      <c r="I2859" s="17"/>
      <c r="J2859" s="17"/>
      <c r="K2859" s="17"/>
      <c r="L2859" s="17"/>
      <c r="M2859" s="17"/>
      <c r="N2859" s="17"/>
      <c r="O2859" s="17"/>
      <c r="P2859" s="17"/>
      <c r="Q2859" s="17"/>
      <c r="R2859" s="18"/>
    </row>
    <row r="2860" spans="1:18" x14ac:dyDescent="0.35">
      <c r="A2860" s="81"/>
      <c r="B2860" s="17"/>
      <c r="C2860" s="17"/>
      <c r="D2860" s="17"/>
      <c r="E2860" s="17"/>
      <c r="F2860" s="17"/>
      <c r="G2860" s="17"/>
      <c r="H2860" s="17"/>
      <c r="I2860" s="17"/>
      <c r="J2860" s="17"/>
      <c r="K2860" s="17"/>
      <c r="L2860" s="17"/>
      <c r="M2860" s="17"/>
      <c r="N2860" s="17"/>
      <c r="O2860" s="17"/>
      <c r="P2860" s="17"/>
      <c r="Q2860" s="17"/>
      <c r="R2860" s="18"/>
    </row>
    <row r="2861" spans="1:18" x14ac:dyDescent="0.35">
      <c r="A2861" s="81"/>
      <c r="B2861" s="17"/>
      <c r="C2861" s="17"/>
      <c r="D2861" s="17"/>
      <c r="E2861" s="17"/>
      <c r="F2861" s="17"/>
      <c r="G2861" s="17"/>
      <c r="H2861" s="17"/>
      <c r="I2861" s="17"/>
      <c r="J2861" s="17"/>
      <c r="K2861" s="17"/>
      <c r="L2861" s="17"/>
      <c r="M2861" s="17"/>
      <c r="N2861" s="17"/>
      <c r="O2861" s="17"/>
      <c r="P2861" s="17"/>
      <c r="Q2861" s="17"/>
      <c r="R2861" s="18"/>
    </row>
    <row r="2862" spans="1:18" x14ac:dyDescent="0.35">
      <c r="A2862" s="82"/>
      <c r="B2862" s="19"/>
      <c r="C2862" s="19"/>
      <c r="D2862" s="19"/>
      <c r="E2862" s="19"/>
      <c r="F2862" s="19"/>
      <c r="G2862" s="19"/>
      <c r="H2862" s="19"/>
      <c r="I2862" s="19"/>
      <c r="J2862" s="19"/>
      <c r="K2862" s="19"/>
      <c r="L2862" s="19"/>
      <c r="M2862" s="19"/>
      <c r="N2862" s="19"/>
      <c r="O2862" s="19"/>
      <c r="P2862" s="19"/>
      <c r="Q2862" s="19"/>
      <c r="R2862" s="20"/>
    </row>
    <row r="2863" spans="1:18" x14ac:dyDescent="0.35">
      <c r="A2863" s="82"/>
      <c r="B2863" s="19"/>
      <c r="C2863" s="19"/>
      <c r="D2863" s="19"/>
      <c r="E2863" s="19"/>
      <c r="F2863" s="19"/>
      <c r="G2863" s="19"/>
      <c r="H2863" s="19"/>
      <c r="I2863" s="19"/>
      <c r="J2863" s="19"/>
      <c r="K2863" s="19"/>
      <c r="L2863" s="19"/>
      <c r="M2863" s="19"/>
      <c r="N2863" s="19"/>
      <c r="O2863" s="19"/>
      <c r="P2863" s="19"/>
      <c r="Q2863" s="19"/>
      <c r="R2863" s="20"/>
    </row>
    <row r="2864" spans="1:18" x14ac:dyDescent="0.35">
      <c r="A2864" s="81"/>
      <c r="B2864" s="17"/>
      <c r="C2864" s="17"/>
      <c r="D2864" s="17"/>
      <c r="E2864" s="17"/>
      <c r="F2864" s="17"/>
      <c r="G2864" s="17"/>
      <c r="H2864" s="17"/>
      <c r="I2864" s="17"/>
      <c r="J2864" s="17"/>
      <c r="K2864" s="17"/>
      <c r="L2864" s="19"/>
      <c r="M2864" s="19"/>
      <c r="N2864" s="19"/>
      <c r="O2864" s="17"/>
      <c r="P2864" s="17"/>
      <c r="Q2864" s="17"/>
      <c r="R2864" s="18"/>
    </row>
    <row r="2865" spans="1:18" x14ac:dyDescent="0.35">
      <c r="A2865" s="82"/>
      <c r="B2865" s="19"/>
      <c r="C2865" s="19"/>
      <c r="D2865" s="19"/>
      <c r="E2865" s="19"/>
      <c r="F2865" s="19"/>
      <c r="G2865" s="19"/>
      <c r="H2865" s="19"/>
      <c r="I2865" s="19"/>
      <c r="J2865" s="19"/>
      <c r="K2865" s="19"/>
      <c r="L2865" s="19"/>
      <c r="M2865" s="19"/>
      <c r="N2865" s="19"/>
      <c r="O2865" s="19"/>
      <c r="P2865" s="19"/>
      <c r="Q2865" s="19"/>
      <c r="R2865" s="20"/>
    </row>
    <row r="2866" spans="1:18" x14ac:dyDescent="0.35">
      <c r="A2866" s="81"/>
      <c r="B2866" s="17"/>
      <c r="C2866" s="17"/>
      <c r="D2866" s="17"/>
      <c r="E2866" s="17"/>
      <c r="F2866" s="17"/>
      <c r="G2866" s="17"/>
      <c r="H2866" s="17"/>
      <c r="I2866" s="17"/>
      <c r="J2866" s="17"/>
      <c r="K2866" s="17"/>
      <c r="L2866" s="17"/>
      <c r="M2866" s="17"/>
      <c r="N2866" s="17"/>
      <c r="O2866" s="17"/>
      <c r="P2866" s="17"/>
      <c r="Q2866" s="17"/>
      <c r="R2866" s="18"/>
    </row>
    <row r="2867" spans="1:18" x14ac:dyDescent="0.35">
      <c r="A2867" s="82"/>
      <c r="B2867" s="19"/>
      <c r="C2867" s="19"/>
      <c r="D2867" s="19"/>
      <c r="E2867" s="19"/>
      <c r="F2867" s="19"/>
      <c r="G2867" s="19"/>
      <c r="H2867" s="19"/>
      <c r="I2867" s="19"/>
      <c r="J2867" s="19"/>
      <c r="K2867" s="19"/>
      <c r="L2867" s="19"/>
      <c r="M2867" s="19"/>
      <c r="N2867" s="19"/>
      <c r="O2867" s="19"/>
      <c r="P2867" s="19"/>
      <c r="Q2867" s="19"/>
      <c r="R2867" s="20"/>
    </row>
    <row r="2868" spans="1:18" x14ac:dyDescent="0.35">
      <c r="A2868" s="82"/>
      <c r="B2868" s="19"/>
      <c r="C2868" s="19"/>
      <c r="D2868" s="19"/>
      <c r="E2868" s="19"/>
      <c r="F2868" s="19"/>
      <c r="G2868" s="19"/>
      <c r="H2868" s="19"/>
      <c r="I2868" s="19"/>
      <c r="J2868" s="19"/>
      <c r="K2868" s="19"/>
      <c r="L2868" s="19"/>
      <c r="M2868" s="19"/>
      <c r="N2868" s="19"/>
      <c r="O2868" s="19"/>
      <c r="P2868" s="19"/>
      <c r="Q2868" s="19"/>
      <c r="R2868" s="20"/>
    </row>
    <row r="2869" spans="1:18" x14ac:dyDescent="0.35">
      <c r="A2869" s="81"/>
      <c r="B2869" s="17"/>
      <c r="C2869" s="17"/>
      <c r="D2869" s="17"/>
      <c r="E2869" s="17"/>
      <c r="F2869" s="17"/>
      <c r="G2869" s="17"/>
      <c r="H2869" s="17"/>
      <c r="I2869" s="17"/>
      <c r="J2869" s="17"/>
      <c r="K2869" s="17"/>
      <c r="L2869" s="17"/>
      <c r="M2869" s="17"/>
      <c r="N2869" s="17"/>
      <c r="O2869" s="17"/>
      <c r="P2869" s="17"/>
      <c r="Q2869" s="17"/>
      <c r="R2869" s="18"/>
    </row>
    <row r="2870" spans="1:18" x14ac:dyDescent="0.35">
      <c r="A2870" s="82"/>
      <c r="B2870" s="19"/>
      <c r="C2870" s="19"/>
      <c r="D2870" s="19"/>
      <c r="E2870" s="19"/>
      <c r="F2870" s="19"/>
      <c r="G2870" s="19"/>
      <c r="H2870" s="19"/>
      <c r="I2870" s="19"/>
      <c r="J2870" s="19"/>
      <c r="K2870" s="19"/>
      <c r="L2870" s="19"/>
      <c r="M2870" s="19"/>
      <c r="N2870" s="19"/>
      <c r="O2870" s="19"/>
      <c r="P2870" s="19"/>
      <c r="Q2870" s="19"/>
      <c r="R2870" s="20"/>
    </row>
    <row r="2871" spans="1:18" x14ac:dyDescent="0.35">
      <c r="A2871" s="81"/>
      <c r="B2871" s="17"/>
      <c r="C2871" s="17"/>
      <c r="D2871" s="17"/>
      <c r="E2871" s="17"/>
      <c r="F2871" s="17"/>
      <c r="G2871" s="17"/>
      <c r="H2871" s="17"/>
      <c r="I2871" s="17"/>
      <c r="J2871" s="17"/>
      <c r="K2871" s="17"/>
      <c r="L2871" s="17"/>
      <c r="M2871" s="17"/>
      <c r="N2871" s="17"/>
      <c r="O2871" s="17"/>
      <c r="P2871" s="17"/>
      <c r="Q2871" s="17"/>
      <c r="R2871" s="18"/>
    </row>
    <row r="2872" spans="1:18" x14ac:dyDescent="0.35">
      <c r="A2872" s="81"/>
      <c r="B2872" s="17"/>
      <c r="C2872" s="17"/>
      <c r="D2872" s="17"/>
      <c r="E2872" s="17"/>
      <c r="F2872" s="17"/>
      <c r="G2872" s="17"/>
      <c r="H2872" s="17"/>
      <c r="I2872" s="17"/>
      <c r="J2872" s="17"/>
      <c r="K2872" s="17"/>
      <c r="L2872" s="19"/>
      <c r="M2872" s="19"/>
      <c r="N2872" s="19"/>
      <c r="O2872" s="17"/>
      <c r="P2872" s="17"/>
      <c r="Q2872" s="17"/>
      <c r="R2872" s="18"/>
    </row>
    <row r="2873" spans="1:18" x14ac:dyDescent="0.35">
      <c r="A2873" s="82"/>
      <c r="B2873" s="19"/>
      <c r="C2873" s="19"/>
      <c r="D2873" s="19"/>
      <c r="E2873" s="19"/>
      <c r="F2873" s="19"/>
      <c r="G2873" s="19"/>
      <c r="H2873" s="19"/>
      <c r="I2873" s="19"/>
      <c r="J2873" s="19"/>
      <c r="K2873" s="19"/>
      <c r="L2873" s="19"/>
      <c r="M2873" s="19"/>
      <c r="N2873" s="19"/>
      <c r="O2873" s="19"/>
      <c r="P2873" s="19"/>
      <c r="Q2873" s="19"/>
      <c r="R2873" s="20"/>
    </row>
    <row r="2874" spans="1:18" x14ac:dyDescent="0.35">
      <c r="A2874" s="81"/>
      <c r="B2874" s="17"/>
      <c r="C2874" s="17"/>
      <c r="D2874" s="17"/>
      <c r="E2874" s="17"/>
      <c r="F2874" s="17"/>
      <c r="G2874" s="17"/>
      <c r="H2874" s="17"/>
      <c r="I2874" s="17"/>
      <c r="J2874" s="17"/>
      <c r="K2874" s="17"/>
      <c r="L2874" s="17"/>
      <c r="M2874" s="17"/>
      <c r="N2874" s="17"/>
      <c r="O2874" s="17"/>
      <c r="P2874" s="17"/>
      <c r="Q2874" s="17"/>
      <c r="R2874" s="18"/>
    </row>
    <row r="2875" spans="1:18" x14ac:dyDescent="0.35">
      <c r="A2875" s="81"/>
      <c r="B2875" s="17"/>
      <c r="C2875" s="17"/>
      <c r="D2875" s="17"/>
      <c r="E2875" s="17"/>
      <c r="F2875" s="17"/>
      <c r="G2875" s="17"/>
      <c r="H2875" s="17"/>
      <c r="I2875" s="17"/>
      <c r="J2875" s="17"/>
      <c r="K2875" s="17"/>
      <c r="L2875" s="17"/>
      <c r="M2875" s="17"/>
      <c r="N2875" s="17"/>
      <c r="O2875" s="17"/>
      <c r="P2875" s="17"/>
      <c r="Q2875" s="17"/>
      <c r="R2875" s="18"/>
    </row>
    <row r="2876" spans="1:18" x14ac:dyDescent="0.35">
      <c r="A2876" s="81"/>
      <c r="B2876" s="17"/>
      <c r="C2876" s="17"/>
      <c r="D2876" s="17"/>
      <c r="E2876" s="17"/>
      <c r="F2876" s="17"/>
      <c r="G2876" s="17"/>
      <c r="H2876" s="17"/>
      <c r="I2876" s="17"/>
      <c r="J2876" s="17"/>
      <c r="K2876" s="17"/>
      <c r="L2876" s="17"/>
      <c r="M2876" s="17"/>
      <c r="N2876" s="17"/>
      <c r="O2876" s="17"/>
      <c r="P2876" s="17"/>
      <c r="Q2876" s="17"/>
      <c r="R2876" s="18"/>
    </row>
    <row r="2877" spans="1:18" x14ac:dyDescent="0.35">
      <c r="A2877" s="82"/>
      <c r="B2877" s="19"/>
      <c r="C2877" s="19"/>
      <c r="D2877" s="19"/>
      <c r="E2877" s="19"/>
      <c r="F2877" s="19"/>
      <c r="G2877" s="19"/>
      <c r="H2877" s="19"/>
      <c r="I2877" s="19"/>
      <c r="J2877" s="19"/>
      <c r="K2877" s="19"/>
      <c r="L2877" s="19"/>
      <c r="M2877" s="19"/>
      <c r="N2877" s="19"/>
      <c r="O2877" s="19"/>
      <c r="P2877" s="19"/>
      <c r="Q2877" s="19"/>
      <c r="R2877" s="20"/>
    </row>
    <row r="2878" spans="1:18" x14ac:dyDescent="0.35">
      <c r="A2878" s="82"/>
      <c r="B2878" s="19"/>
      <c r="C2878" s="19"/>
      <c r="D2878" s="19"/>
      <c r="E2878" s="19"/>
      <c r="F2878" s="19"/>
      <c r="G2878" s="19"/>
      <c r="H2878" s="19"/>
      <c r="I2878" s="19"/>
      <c r="J2878" s="19"/>
      <c r="K2878" s="19"/>
      <c r="L2878" s="19"/>
      <c r="M2878" s="19"/>
      <c r="N2878" s="19"/>
      <c r="O2878" s="19"/>
      <c r="P2878" s="19"/>
      <c r="Q2878" s="19"/>
      <c r="R2878" s="20"/>
    </row>
    <row r="2879" spans="1:18" x14ac:dyDescent="0.35">
      <c r="A2879" s="82"/>
      <c r="B2879" s="19"/>
      <c r="C2879" s="19"/>
      <c r="D2879" s="19"/>
      <c r="E2879" s="19"/>
      <c r="F2879" s="19"/>
      <c r="G2879" s="19"/>
      <c r="H2879" s="19"/>
      <c r="I2879" s="19"/>
      <c r="J2879" s="19"/>
      <c r="K2879" s="19"/>
      <c r="L2879" s="19"/>
      <c r="M2879" s="19"/>
      <c r="N2879" s="19"/>
      <c r="O2879" s="19"/>
      <c r="P2879" s="19"/>
      <c r="Q2879" s="19"/>
      <c r="R2879" s="20"/>
    </row>
    <row r="2880" spans="1:18" x14ac:dyDescent="0.35">
      <c r="A2880" s="82"/>
      <c r="B2880" s="19"/>
      <c r="C2880" s="19"/>
      <c r="D2880" s="19"/>
      <c r="E2880" s="19"/>
      <c r="F2880" s="19"/>
      <c r="G2880" s="19"/>
      <c r="H2880" s="19"/>
      <c r="I2880" s="19"/>
      <c r="J2880" s="19"/>
      <c r="K2880" s="19"/>
      <c r="L2880" s="19"/>
      <c r="M2880" s="19"/>
      <c r="N2880" s="19"/>
      <c r="O2880" s="19"/>
      <c r="P2880" s="19"/>
      <c r="Q2880" s="19"/>
      <c r="R2880" s="20"/>
    </row>
    <row r="2881" spans="1:19" x14ac:dyDescent="0.35">
      <c r="A2881" s="82"/>
      <c r="B2881" s="19"/>
      <c r="C2881" s="19"/>
      <c r="D2881" s="19"/>
      <c r="E2881" s="19"/>
      <c r="F2881" s="19"/>
      <c r="G2881" s="19"/>
      <c r="H2881" s="19"/>
      <c r="I2881" s="19"/>
      <c r="J2881" s="19"/>
      <c r="K2881" s="19"/>
      <c r="L2881" s="19"/>
      <c r="M2881" s="19"/>
      <c r="N2881" s="19"/>
      <c r="O2881" s="19"/>
      <c r="P2881" s="19"/>
      <c r="Q2881" s="19"/>
      <c r="R2881" s="20"/>
    </row>
    <row r="2882" spans="1:19" x14ac:dyDescent="0.35">
      <c r="A2882" s="82"/>
      <c r="B2882" s="19"/>
      <c r="C2882" s="19"/>
      <c r="D2882" s="19"/>
      <c r="E2882" s="19"/>
      <c r="F2882" s="19"/>
      <c r="G2882" s="19"/>
      <c r="H2882" s="19"/>
      <c r="I2882" s="19"/>
      <c r="J2882" s="19"/>
      <c r="K2882" s="19"/>
      <c r="L2882" s="19"/>
      <c r="M2882" s="19"/>
      <c r="N2882" s="19"/>
      <c r="O2882" s="19"/>
      <c r="P2882" s="19"/>
      <c r="Q2882" s="19"/>
      <c r="R2882" s="20"/>
    </row>
    <row r="2883" spans="1:19" x14ac:dyDescent="0.35">
      <c r="A2883" s="81"/>
      <c r="B2883" s="17"/>
      <c r="C2883" s="17"/>
      <c r="D2883" s="17"/>
      <c r="E2883" s="17"/>
      <c r="F2883" s="17"/>
      <c r="G2883" s="17"/>
      <c r="H2883" s="17"/>
      <c r="I2883" s="17"/>
      <c r="J2883" s="17"/>
      <c r="K2883" s="17"/>
      <c r="L2883" s="19"/>
      <c r="M2883" s="19"/>
      <c r="N2883" s="19"/>
      <c r="O2883" s="17"/>
      <c r="P2883" s="17"/>
      <c r="Q2883" s="17"/>
      <c r="R2883" s="18"/>
    </row>
    <row r="2884" spans="1:19" x14ac:dyDescent="0.35">
      <c r="A2884" s="82"/>
      <c r="B2884" s="19"/>
      <c r="C2884" s="19"/>
      <c r="D2884" s="19"/>
      <c r="E2884" s="19"/>
      <c r="F2884" s="19"/>
      <c r="G2884" s="19"/>
      <c r="H2884" s="19"/>
      <c r="I2884" s="19"/>
      <c r="J2884" s="19"/>
      <c r="K2884" s="19"/>
      <c r="L2884" s="19"/>
      <c r="M2884" s="19"/>
      <c r="N2884" s="19"/>
      <c r="O2884" s="19"/>
      <c r="P2884" s="19"/>
      <c r="Q2884" s="19"/>
      <c r="R2884" s="20"/>
    </row>
    <row r="2885" spans="1:19" x14ac:dyDescent="0.35">
      <c r="A2885" s="82"/>
      <c r="B2885" s="19"/>
      <c r="C2885" s="19"/>
      <c r="D2885" s="19"/>
      <c r="E2885" s="19"/>
      <c r="F2885" s="19"/>
      <c r="G2885" s="19"/>
      <c r="H2885" s="19"/>
      <c r="I2885" s="19"/>
      <c r="J2885" s="19"/>
      <c r="K2885" s="19"/>
      <c r="L2885" s="19"/>
      <c r="M2885" s="19"/>
      <c r="N2885" s="19"/>
      <c r="O2885" s="19"/>
      <c r="P2885" s="19"/>
      <c r="Q2885" s="19"/>
      <c r="R2885" s="20"/>
    </row>
    <row r="2886" spans="1:19" x14ac:dyDescent="0.35">
      <c r="A2886" s="82"/>
      <c r="B2886" s="19"/>
      <c r="C2886" s="19"/>
      <c r="D2886" s="19"/>
      <c r="E2886" s="19"/>
      <c r="F2886" s="19"/>
      <c r="G2886" s="19"/>
      <c r="H2886" s="19"/>
      <c r="I2886" s="19"/>
      <c r="J2886" s="19"/>
      <c r="K2886" s="19"/>
      <c r="L2886" s="19"/>
      <c r="M2886" s="19"/>
      <c r="N2886" s="19"/>
      <c r="O2886" s="19"/>
      <c r="P2886" s="19"/>
      <c r="Q2886" s="19"/>
      <c r="R2886" s="20"/>
    </row>
    <row r="2887" spans="1:19" x14ac:dyDescent="0.35">
      <c r="A2887" s="82"/>
      <c r="B2887" s="19"/>
      <c r="C2887" s="19"/>
      <c r="D2887" s="19"/>
      <c r="E2887" s="19"/>
      <c r="F2887" s="19"/>
      <c r="G2887" s="19"/>
      <c r="H2887" s="19"/>
      <c r="I2887" s="19"/>
      <c r="J2887" s="19"/>
      <c r="K2887" s="19"/>
      <c r="L2887" s="19"/>
      <c r="M2887" s="19"/>
      <c r="N2887" s="19"/>
      <c r="O2887" s="19"/>
      <c r="P2887" s="19"/>
      <c r="Q2887" s="19"/>
      <c r="R2887" s="20"/>
    </row>
    <row r="2888" spans="1:19" x14ac:dyDescent="0.35">
      <c r="A2888" s="82"/>
      <c r="B2888" s="19"/>
      <c r="C2888" s="19"/>
      <c r="D2888" s="19"/>
      <c r="E2888" s="19"/>
      <c r="F2888" s="19"/>
      <c r="G2888" s="19"/>
      <c r="H2888" s="19"/>
      <c r="I2888" s="19"/>
      <c r="J2888" s="19"/>
      <c r="K2888" s="19"/>
      <c r="L2888" s="19"/>
      <c r="M2888" s="19"/>
      <c r="N2888" s="19"/>
      <c r="O2888" s="19"/>
      <c r="P2888" s="19"/>
      <c r="Q2888" s="19"/>
      <c r="R2888" s="20"/>
    </row>
    <row r="2889" spans="1:19" x14ac:dyDescent="0.35">
      <c r="A2889" s="81"/>
      <c r="B2889" s="17"/>
      <c r="C2889" s="17"/>
      <c r="D2889" s="17"/>
      <c r="E2889" s="17"/>
      <c r="F2889" s="17"/>
      <c r="G2889" s="17"/>
      <c r="H2889" s="17"/>
      <c r="I2889" s="17"/>
      <c r="J2889" s="17"/>
      <c r="K2889" s="17"/>
      <c r="L2889" s="17"/>
      <c r="M2889" s="17"/>
      <c r="N2889" s="17"/>
      <c r="O2889" s="17"/>
      <c r="P2889" s="17"/>
      <c r="Q2889" s="17"/>
      <c r="R2889" s="18"/>
    </row>
    <row r="2890" spans="1:19" x14ac:dyDescent="0.35">
      <c r="A2890" s="81"/>
      <c r="B2890" s="17"/>
      <c r="C2890" s="17"/>
      <c r="D2890" s="17"/>
      <c r="E2890" s="17"/>
      <c r="F2890" s="17"/>
      <c r="G2890" s="17"/>
      <c r="H2890" s="17"/>
      <c r="I2890" s="17"/>
      <c r="J2890" s="17"/>
      <c r="K2890" s="17"/>
      <c r="L2890" s="17"/>
      <c r="M2890" s="17"/>
      <c r="N2890" s="17"/>
      <c r="O2890" s="17"/>
      <c r="P2890" s="17"/>
      <c r="Q2890" s="17"/>
      <c r="R2890" s="18"/>
    </row>
    <row r="2891" spans="1:19" x14ac:dyDescent="0.35">
      <c r="A2891" s="82"/>
      <c r="B2891" s="19"/>
      <c r="C2891" s="19"/>
      <c r="D2891" s="19"/>
      <c r="E2891" s="19"/>
      <c r="F2891" s="19"/>
      <c r="G2891" s="19"/>
      <c r="H2891" s="19"/>
      <c r="I2891" s="19"/>
      <c r="J2891" s="19"/>
      <c r="K2891" s="19"/>
      <c r="L2891" s="19"/>
      <c r="M2891" s="19"/>
      <c r="N2891" s="19"/>
      <c r="O2891" s="19"/>
      <c r="P2891" s="19"/>
      <c r="Q2891" s="19"/>
      <c r="R2891" s="20"/>
    </row>
    <row r="2892" spans="1:19" x14ac:dyDescent="0.35">
      <c r="A2892" s="82"/>
      <c r="B2892" s="19"/>
      <c r="C2892" s="19"/>
      <c r="D2892" s="19"/>
      <c r="E2892" s="19"/>
      <c r="F2892" s="19"/>
      <c r="G2892" s="19"/>
      <c r="H2892" s="19"/>
      <c r="I2892" s="19"/>
      <c r="J2892" s="19"/>
      <c r="K2892" s="19"/>
      <c r="L2892" s="19"/>
      <c r="M2892" s="19"/>
      <c r="N2892" s="19"/>
      <c r="O2892" s="19"/>
      <c r="P2892" s="19"/>
      <c r="Q2892" s="19"/>
      <c r="R2892" s="20"/>
    </row>
    <row r="2893" spans="1:19" x14ac:dyDescent="0.35">
      <c r="A2893" s="81"/>
      <c r="B2893" s="17"/>
      <c r="C2893" s="17"/>
      <c r="D2893" s="17"/>
      <c r="E2893" s="17"/>
      <c r="F2893" s="17"/>
      <c r="G2893" s="17"/>
      <c r="H2893" s="17"/>
      <c r="I2893" s="17"/>
      <c r="J2893" s="17"/>
      <c r="K2893" s="17"/>
      <c r="L2893" s="17"/>
      <c r="M2893" s="17"/>
      <c r="N2893" s="17"/>
      <c r="O2893" s="17"/>
      <c r="P2893" s="17"/>
      <c r="Q2893" s="17"/>
      <c r="R2893" s="18"/>
    </row>
    <row r="2894" spans="1:19" x14ac:dyDescent="0.35">
      <c r="A2894" s="82"/>
      <c r="B2894" s="19"/>
      <c r="C2894" s="19"/>
      <c r="D2894" s="19"/>
      <c r="E2894" s="19"/>
      <c r="F2894" s="19"/>
      <c r="G2894" s="19"/>
      <c r="H2894" s="19"/>
      <c r="I2894" s="19"/>
      <c r="J2894" s="19"/>
      <c r="K2894" s="19"/>
      <c r="L2894" s="19"/>
      <c r="M2894" s="19"/>
      <c r="N2894" s="19"/>
      <c r="O2894" s="19"/>
      <c r="P2894" s="19"/>
      <c r="Q2894" s="19"/>
      <c r="R2894" s="20"/>
    </row>
    <row r="2895" spans="1:19" x14ac:dyDescent="0.35">
      <c r="A2895" s="81"/>
      <c r="B2895" s="17"/>
      <c r="C2895" s="17"/>
      <c r="D2895" s="17"/>
      <c r="E2895" s="17"/>
      <c r="F2895" s="17"/>
      <c r="G2895" s="17"/>
      <c r="H2895" s="17"/>
      <c r="I2895" s="17"/>
      <c r="J2895" s="17"/>
      <c r="K2895" s="17"/>
      <c r="L2895" s="17"/>
      <c r="M2895" s="17"/>
      <c r="N2895" s="17"/>
      <c r="O2895" s="17"/>
      <c r="P2895" s="17"/>
      <c r="Q2895" s="17"/>
      <c r="R2895" s="18"/>
    </row>
    <row r="2896" spans="1:19" x14ac:dyDescent="0.35">
      <c r="A2896" s="81"/>
      <c r="B2896" s="17"/>
      <c r="C2896" s="17"/>
      <c r="D2896" s="17"/>
      <c r="E2896" s="17"/>
      <c r="F2896" s="17"/>
      <c r="G2896" s="17"/>
      <c r="H2896" s="17"/>
      <c r="I2896" s="17"/>
      <c r="J2896" s="17"/>
      <c r="K2896" s="17"/>
      <c r="L2896" s="17"/>
      <c r="M2896" s="17"/>
      <c r="N2896" s="17"/>
      <c r="O2896" s="17"/>
      <c r="P2896" s="17"/>
      <c r="Q2896" s="17"/>
      <c r="R2896" s="18"/>
      <c r="S2896" s="30"/>
    </row>
    <row r="2897" spans="1:19" x14ac:dyDescent="0.35">
      <c r="A2897" s="81"/>
      <c r="B2897" s="17"/>
      <c r="C2897" s="17"/>
      <c r="D2897" s="17"/>
      <c r="E2897" s="17"/>
      <c r="F2897" s="17"/>
      <c r="G2897" s="17"/>
      <c r="H2897" s="17"/>
      <c r="I2897" s="17"/>
      <c r="J2897" s="17"/>
      <c r="K2897" s="17"/>
      <c r="L2897" s="19"/>
      <c r="M2897" s="19"/>
      <c r="N2897" s="19"/>
      <c r="O2897" s="19"/>
      <c r="P2897" s="17"/>
      <c r="Q2897" s="17"/>
      <c r="R2897" s="18"/>
    </row>
    <row r="2898" spans="1:19" x14ac:dyDescent="0.35">
      <c r="A2898" s="82"/>
      <c r="B2898" s="19"/>
      <c r="C2898" s="19"/>
      <c r="D2898" s="19"/>
      <c r="E2898" s="19"/>
      <c r="F2898" s="19"/>
      <c r="G2898" s="19"/>
      <c r="H2898" s="19"/>
      <c r="I2898" s="19"/>
      <c r="J2898" s="19"/>
      <c r="K2898" s="19"/>
      <c r="L2898" s="19"/>
      <c r="M2898" s="19"/>
      <c r="N2898" s="19"/>
      <c r="O2898" s="19"/>
      <c r="P2898" s="19"/>
      <c r="Q2898" s="19"/>
      <c r="R2898" s="20"/>
    </row>
    <row r="2899" spans="1:19" x14ac:dyDescent="0.35">
      <c r="A2899" s="82"/>
      <c r="B2899" s="19"/>
      <c r="C2899" s="19"/>
      <c r="D2899" s="19"/>
      <c r="E2899" s="19"/>
      <c r="F2899" s="19"/>
      <c r="G2899" s="19"/>
      <c r="H2899" s="19"/>
      <c r="I2899" s="19"/>
      <c r="J2899" s="19"/>
      <c r="K2899" s="19"/>
      <c r="L2899" s="19"/>
      <c r="M2899" s="19"/>
      <c r="N2899" s="19"/>
      <c r="O2899" s="19"/>
      <c r="P2899" s="19"/>
      <c r="Q2899" s="19"/>
      <c r="R2899" s="20"/>
    </row>
    <row r="2900" spans="1:19" x14ac:dyDescent="0.35">
      <c r="A2900" s="82"/>
      <c r="B2900" s="19"/>
      <c r="C2900" s="19"/>
      <c r="D2900" s="19"/>
      <c r="E2900" s="19"/>
      <c r="F2900" s="19"/>
      <c r="G2900" s="19"/>
      <c r="H2900" s="19"/>
      <c r="I2900" s="19"/>
      <c r="J2900" s="19"/>
      <c r="K2900" s="19"/>
      <c r="L2900" s="19"/>
      <c r="M2900" s="19"/>
      <c r="N2900" s="19"/>
      <c r="O2900" s="19"/>
      <c r="P2900" s="19"/>
      <c r="Q2900" s="19"/>
      <c r="R2900" s="20"/>
    </row>
    <row r="2901" spans="1:19" x14ac:dyDescent="0.35">
      <c r="A2901" s="82"/>
      <c r="B2901" s="19"/>
      <c r="C2901" s="19"/>
      <c r="D2901" s="19"/>
      <c r="E2901" s="19"/>
      <c r="F2901" s="19"/>
      <c r="G2901" s="19"/>
      <c r="H2901" s="19"/>
      <c r="I2901" s="19"/>
      <c r="J2901" s="19"/>
      <c r="K2901" s="19"/>
      <c r="L2901" s="19"/>
      <c r="M2901" s="19"/>
      <c r="N2901" s="19"/>
      <c r="O2901" s="19"/>
      <c r="P2901" s="19"/>
      <c r="Q2901" s="19"/>
      <c r="R2901" s="20"/>
    </row>
    <row r="2902" spans="1:19" x14ac:dyDescent="0.35">
      <c r="A2902" s="82"/>
      <c r="B2902" s="19"/>
      <c r="C2902" s="19"/>
      <c r="D2902" s="19"/>
      <c r="E2902" s="19"/>
      <c r="F2902" s="19"/>
      <c r="G2902" s="19"/>
      <c r="H2902" s="19"/>
      <c r="I2902" s="19"/>
      <c r="J2902" s="19"/>
      <c r="K2902" s="19"/>
      <c r="L2902" s="19"/>
      <c r="M2902" s="19"/>
      <c r="N2902" s="19"/>
      <c r="O2902" s="19"/>
      <c r="P2902" s="19"/>
      <c r="Q2902" s="19"/>
      <c r="R2902" s="20"/>
    </row>
    <row r="2903" spans="1:19" x14ac:dyDescent="0.35">
      <c r="A2903" s="82"/>
      <c r="B2903" s="19"/>
      <c r="C2903" s="19"/>
      <c r="D2903" s="19"/>
      <c r="E2903" s="19"/>
      <c r="F2903" s="19"/>
      <c r="G2903" s="19"/>
      <c r="H2903" s="19"/>
      <c r="I2903" s="19"/>
      <c r="J2903" s="19"/>
      <c r="K2903" s="19"/>
      <c r="L2903" s="19"/>
      <c r="M2903" s="19"/>
      <c r="N2903" s="19"/>
      <c r="O2903" s="19"/>
      <c r="P2903" s="19"/>
      <c r="Q2903" s="19"/>
      <c r="R2903" s="20"/>
    </row>
    <row r="2904" spans="1:19" x14ac:dyDescent="0.35">
      <c r="A2904" s="82"/>
      <c r="B2904" s="19"/>
      <c r="C2904" s="19"/>
      <c r="D2904" s="19"/>
      <c r="E2904" s="19"/>
      <c r="F2904" s="19"/>
      <c r="G2904" s="19"/>
      <c r="H2904" s="19"/>
      <c r="I2904" s="19"/>
      <c r="J2904" s="19"/>
      <c r="K2904" s="19"/>
      <c r="L2904" s="19"/>
      <c r="M2904" s="19"/>
      <c r="N2904" s="19"/>
      <c r="O2904" s="19"/>
      <c r="P2904" s="19"/>
      <c r="Q2904" s="19"/>
      <c r="R2904" s="20"/>
    </row>
    <row r="2905" spans="1:19" x14ac:dyDescent="0.35">
      <c r="A2905" s="82"/>
      <c r="B2905" s="19"/>
      <c r="C2905" s="19"/>
      <c r="D2905" s="19"/>
      <c r="E2905" s="19"/>
      <c r="F2905" s="19"/>
      <c r="G2905" s="19"/>
      <c r="H2905" s="19"/>
      <c r="I2905" s="19"/>
      <c r="J2905" s="19"/>
      <c r="K2905" s="19"/>
      <c r="L2905" s="19"/>
      <c r="M2905" s="19"/>
      <c r="N2905" s="19"/>
      <c r="O2905" s="19"/>
      <c r="P2905" s="19"/>
      <c r="Q2905" s="19"/>
      <c r="R2905" s="20"/>
    </row>
    <row r="2906" spans="1:19" x14ac:dyDescent="0.35">
      <c r="A2906" s="81"/>
      <c r="B2906" s="17"/>
      <c r="C2906" s="17"/>
      <c r="D2906" s="17"/>
      <c r="E2906" s="17"/>
      <c r="F2906" s="17"/>
      <c r="G2906" s="17"/>
      <c r="H2906" s="17"/>
      <c r="I2906" s="17"/>
      <c r="J2906" s="17"/>
      <c r="K2906" s="17"/>
      <c r="L2906" s="17"/>
      <c r="M2906" s="17"/>
      <c r="N2906" s="17"/>
      <c r="O2906" s="17"/>
      <c r="P2906" s="17"/>
      <c r="Q2906" s="17"/>
      <c r="R2906" s="18"/>
      <c r="S2906" s="30"/>
    </row>
    <row r="2907" spans="1:19" x14ac:dyDescent="0.35">
      <c r="A2907" s="82"/>
      <c r="B2907" s="19"/>
      <c r="C2907" s="19"/>
      <c r="D2907" s="19"/>
      <c r="E2907" s="19"/>
      <c r="F2907" s="19"/>
      <c r="G2907" s="19"/>
      <c r="H2907" s="19"/>
      <c r="I2907" s="19"/>
      <c r="J2907" s="19"/>
      <c r="K2907" s="19"/>
      <c r="L2907" s="19"/>
      <c r="M2907" s="19"/>
      <c r="N2907" s="19"/>
      <c r="O2907" s="19"/>
      <c r="P2907" s="19"/>
      <c r="Q2907" s="19"/>
      <c r="R2907" s="20"/>
    </row>
    <row r="2908" spans="1:19" x14ac:dyDescent="0.35">
      <c r="A2908" s="81"/>
      <c r="B2908" s="17"/>
      <c r="C2908" s="17"/>
      <c r="D2908" s="17"/>
      <c r="E2908" s="17"/>
      <c r="F2908" s="17"/>
      <c r="G2908" s="17"/>
      <c r="H2908" s="17"/>
      <c r="I2908" s="17"/>
      <c r="J2908" s="17"/>
      <c r="K2908" s="17"/>
      <c r="L2908" s="17"/>
      <c r="M2908" s="17"/>
      <c r="N2908" s="17"/>
      <c r="O2908" s="17"/>
      <c r="P2908" s="17"/>
      <c r="Q2908" s="17"/>
      <c r="R2908" s="18"/>
    </row>
    <row r="2909" spans="1:19" x14ac:dyDescent="0.35">
      <c r="A2909" s="82"/>
      <c r="B2909" s="19"/>
      <c r="C2909" s="19"/>
      <c r="D2909" s="19"/>
      <c r="E2909" s="19"/>
      <c r="F2909" s="19"/>
      <c r="G2909" s="19"/>
      <c r="H2909" s="19"/>
      <c r="I2909" s="19"/>
      <c r="J2909" s="19"/>
      <c r="K2909" s="19"/>
      <c r="L2909" s="19"/>
      <c r="M2909" s="19"/>
      <c r="N2909" s="19"/>
      <c r="O2909" s="19"/>
      <c r="P2909" s="19"/>
      <c r="Q2909" s="19"/>
      <c r="R2909" s="20"/>
    </row>
    <row r="2910" spans="1:19" x14ac:dyDescent="0.35">
      <c r="A2910" s="82"/>
      <c r="B2910" s="19"/>
      <c r="C2910" s="19"/>
      <c r="D2910" s="19"/>
      <c r="E2910" s="19"/>
      <c r="F2910" s="19"/>
      <c r="G2910" s="19"/>
      <c r="H2910" s="19"/>
      <c r="I2910" s="19"/>
      <c r="J2910" s="19"/>
      <c r="K2910" s="19"/>
      <c r="L2910" s="19"/>
      <c r="M2910" s="19"/>
      <c r="N2910" s="19"/>
      <c r="O2910" s="19"/>
      <c r="P2910" s="19"/>
      <c r="Q2910" s="19"/>
      <c r="R2910" s="20"/>
    </row>
    <row r="2911" spans="1:19" x14ac:dyDescent="0.35">
      <c r="A2911" s="81"/>
      <c r="B2911" s="17"/>
      <c r="C2911" s="17"/>
      <c r="D2911" s="17"/>
      <c r="E2911" s="17"/>
      <c r="F2911" s="17"/>
      <c r="G2911" s="17"/>
      <c r="H2911" s="17"/>
      <c r="I2911" s="17"/>
      <c r="J2911" s="17"/>
      <c r="K2911" s="17"/>
      <c r="L2911" s="17"/>
      <c r="M2911" s="17"/>
      <c r="N2911" s="17"/>
      <c r="O2911" s="17"/>
      <c r="P2911" s="17"/>
      <c r="Q2911" s="17"/>
      <c r="R2911" s="18"/>
      <c r="S2911" s="30"/>
    </row>
    <row r="2912" spans="1:19" x14ac:dyDescent="0.35">
      <c r="A2912" s="81"/>
      <c r="B2912" s="17"/>
      <c r="C2912" s="17"/>
      <c r="D2912" s="17"/>
      <c r="E2912" s="17"/>
      <c r="F2912" s="17"/>
      <c r="G2912" s="17"/>
      <c r="H2912" s="17"/>
      <c r="I2912" s="17"/>
      <c r="J2912" s="17"/>
      <c r="K2912" s="17"/>
      <c r="L2912" s="17"/>
      <c r="M2912" s="17"/>
      <c r="N2912" s="17"/>
      <c r="O2912" s="17"/>
      <c r="P2912" s="17"/>
      <c r="Q2912" s="17"/>
      <c r="R2912" s="18"/>
      <c r="S2912" s="30"/>
    </row>
    <row r="2913" spans="1:19" x14ac:dyDescent="0.35">
      <c r="A2913" s="81"/>
      <c r="B2913" s="17"/>
      <c r="C2913" s="17"/>
      <c r="D2913" s="17"/>
      <c r="E2913" s="17"/>
      <c r="F2913" s="17"/>
      <c r="G2913" s="17"/>
      <c r="H2913" s="17"/>
      <c r="I2913" s="17"/>
      <c r="J2913" s="17"/>
      <c r="K2913" s="17"/>
      <c r="L2913" s="17"/>
      <c r="M2913" s="17"/>
      <c r="N2913" s="17"/>
      <c r="O2913" s="17"/>
      <c r="P2913" s="17"/>
      <c r="Q2913" s="17"/>
      <c r="R2913" s="18"/>
      <c r="S2913" s="30"/>
    </row>
    <row r="2914" spans="1:19" x14ac:dyDescent="0.35">
      <c r="A2914" s="82"/>
      <c r="B2914" s="19"/>
      <c r="C2914" s="19"/>
      <c r="D2914" s="19"/>
      <c r="E2914" s="19"/>
      <c r="F2914" s="19"/>
      <c r="G2914" s="19"/>
      <c r="H2914" s="19"/>
      <c r="I2914" s="19"/>
      <c r="J2914" s="19"/>
      <c r="K2914" s="19"/>
      <c r="L2914" s="19"/>
      <c r="M2914" s="19"/>
      <c r="N2914" s="19"/>
      <c r="O2914" s="19"/>
      <c r="P2914" s="19"/>
      <c r="Q2914" s="19"/>
      <c r="R2914" s="20"/>
    </row>
    <row r="2915" spans="1:19" x14ac:dyDescent="0.35">
      <c r="A2915" s="82"/>
      <c r="B2915" s="19"/>
      <c r="C2915" s="19"/>
      <c r="D2915" s="19"/>
      <c r="E2915" s="19"/>
      <c r="F2915" s="19"/>
      <c r="G2915" s="19"/>
      <c r="H2915" s="19"/>
      <c r="I2915" s="19"/>
      <c r="J2915" s="19"/>
      <c r="K2915" s="19"/>
      <c r="L2915" s="19"/>
      <c r="M2915" s="19"/>
      <c r="N2915" s="19"/>
      <c r="O2915" s="19"/>
      <c r="P2915" s="19"/>
      <c r="Q2915" s="19"/>
      <c r="R2915" s="20"/>
    </row>
    <row r="2916" spans="1:19" x14ac:dyDescent="0.35">
      <c r="A2916" s="81"/>
      <c r="B2916" s="17"/>
      <c r="C2916" s="17"/>
      <c r="D2916" s="17"/>
      <c r="E2916" s="17"/>
      <c r="F2916" s="17"/>
      <c r="G2916" s="17"/>
      <c r="H2916" s="17"/>
      <c r="I2916" s="17"/>
      <c r="J2916" s="17"/>
      <c r="K2916" s="17"/>
      <c r="L2916" s="17"/>
      <c r="M2916" s="17"/>
      <c r="N2916" s="17"/>
      <c r="O2916" s="17"/>
      <c r="P2916" s="17"/>
      <c r="Q2916" s="17"/>
      <c r="R2916" s="18"/>
      <c r="S2916" s="30"/>
    </row>
    <row r="2917" spans="1:19" x14ac:dyDescent="0.35">
      <c r="A2917" s="82"/>
      <c r="B2917" s="19"/>
      <c r="C2917" s="19"/>
      <c r="D2917" s="19"/>
      <c r="E2917" s="19"/>
      <c r="F2917" s="19"/>
      <c r="G2917" s="19"/>
      <c r="H2917" s="19"/>
      <c r="I2917" s="19"/>
      <c r="J2917" s="19"/>
      <c r="K2917" s="19"/>
      <c r="L2917" s="19"/>
      <c r="M2917" s="19"/>
      <c r="N2917" s="19"/>
      <c r="O2917" s="19"/>
      <c r="P2917" s="19"/>
      <c r="Q2917" s="19"/>
      <c r="R2917" s="20"/>
    </row>
    <row r="2918" spans="1:19" x14ac:dyDescent="0.35">
      <c r="A2918" s="82"/>
      <c r="B2918" s="19"/>
      <c r="C2918" s="19"/>
      <c r="D2918" s="19"/>
      <c r="E2918" s="19"/>
      <c r="F2918" s="19"/>
      <c r="G2918" s="19"/>
      <c r="H2918" s="19"/>
      <c r="I2918" s="19"/>
      <c r="J2918" s="19"/>
      <c r="K2918" s="19"/>
      <c r="L2918" s="19"/>
      <c r="M2918" s="19"/>
      <c r="N2918" s="19"/>
      <c r="O2918" s="19"/>
      <c r="P2918" s="19"/>
      <c r="Q2918" s="19"/>
      <c r="R2918" s="20"/>
    </row>
    <row r="2919" spans="1:19" x14ac:dyDescent="0.35">
      <c r="A2919" s="82"/>
      <c r="B2919" s="19"/>
      <c r="C2919" s="19"/>
      <c r="D2919" s="19"/>
      <c r="E2919" s="19"/>
      <c r="F2919" s="19"/>
      <c r="G2919" s="19"/>
      <c r="H2919" s="19"/>
      <c r="I2919" s="19"/>
      <c r="J2919" s="19"/>
      <c r="K2919" s="19"/>
      <c r="L2919" s="19"/>
      <c r="M2919" s="19"/>
      <c r="N2919" s="19"/>
      <c r="O2919" s="19"/>
      <c r="P2919" s="19"/>
      <c r="Q2919" s="19"/>
      <c r="R2919" s="20"/>
    </row>
    <row r="2920" spans="1:19" x14ac:dyDescent="0.35">
      <c r="A2920" s="81"/>
      <c r="B2920" s="17"/>
      <c r="C2920" s="17"/>
      <c r="D2920" s="17"/>
      <c r="E2920" s="17"/>
      <c r="F2920" s="17"/>
      <c r="G2920" s="17"/>
      <c r="H2920" s="17"/>
      <c r="I2920" s="17"/>
      <c r="J2920" s="17"/>
      <c r="K2920" s="17"/>
      <c r="L2920" s="17"/>
      <c r="M2920" s="17"/>
      <c r="N2920" s="17"/>
      <c r="O2920" s="17"/>
      <c r="P2920" s="17"/>
      <c r="Q2920" s="17"/>
      <c r="R2920" s="18"/>
      <c r="S2920" s="30"/>
    </row>
    <row r="2921" spans="1:19" x14ac:dyDescent="0.35">
      <c r="A2921" s="82"/>
      <c r="B2921" s="19"/>
      <c r="C2921" s="19"/>
      <c r="D2921" s="19"/>
      <c r="E2921" s="19"/>
      <c r="F2921" s="19"/>
      <c r="G2921" s="19"/>
      <c r="H2921" s="19"/>
      <c r="I2921" s="19"/>
      <c r="J2921" s="19"/>
      <c r="K2921" s="19"/>
      <c r="L2921" s="19"/>
      <c r="M2921" s="19"/>
      <c r="N2921" s="19"/>
      <c r="O2921" s="19"/>
      <c r="P2921" s="19"/>
      <c r="Q2921" s="19"/>
      <c r="R2921" s="20"/>
    </row>
    <row r="2922" spans="1:19" x14ac:dyDescent="0.35">
      <c r="A2922" s="82"/>
      <c r="B2922" s="19"/>
      <c r="C2922" s="19"/>
      <c r="D2922" s="19"/>
      <c r="E2922" s="19"/>
      <c r="F2922" s="19"/>
      <c r="G2922" s="19"/>
      <c r="H2922" s="19"/>
      <c r="I2922" s="19"/>
      <c r="J2922" s="19"/>
      <c r="K2922" s="19"/>
      <c r="L2922" s="19"/>
      <c r="M2922" s="19"/>
      <c r="N2922" s="19"/>
      <c r="O2922" s="19"/>
      <c r="P2922" s="19"/>
      <c r="Q2922" s="19"/>
      <c r="R2922" s="20"/>
    </row>
    <row r="2923" spans="1:19" x14ac:dyDescent="0.35">
      <c r="A2923" s="81"/>
      <c r="B2923" s="17"/>
      <c r="C2923" s="17"/>
      <c r="D2923" s="17"/>
      <c r="E2923" s="17"/>
      <c r="F2923" s="17"/>
      <c r="G2923" s="17"/>
      <c r="H2923" s="17"/>
      <c r="I2923" s="17"/>
      <c r="J2923" s="17"/>
      <c r="K2923" s="17"/>
      <c r="L2923" s="19"/>
      <c r="M2923" s="19"/>
      <c r="N2923" s="19"/>
      <c r="O2923" s="19"/>
      <c r="P2923" s="17"/>
      <c r="Q2923" s="17"/>
      <c r="R2923" s="18"/>
    </row>
    <row r="2924" spans="1:19" x14ac:dyDescent="0.35">
      <c r="A2924" s="82"/>
      <c r="B2924" s="19"/>
      <c r="C2924" s="19"/>
      <c r="D2924" s="19"/>
      <c r="E2924" s="19"/>
      <c r="F2924" s="19"/>
      <c r="G2924" s="19"/>
      <c r="H2924" s="19"/>
      <c r="I2924" s="19"/>
      <c r="J2924" s="19"/>
      <c r="K2924" s="19"/>
      <c r="L2924" s="19"/>
      <c r="M2924" s="19"/>
      <c r="N2924" s="19"/>
      <c r="O2924" s="19"/>
      <c r="P2924" s="19"/>
      <c r="Q2924" s="19"/>
      <c r="R2924" s="20"/>
    </row>
    <row r="2925" spans="1:19" x14ac:dyDescent="0.35">
      <c r="A2925" s="82"/>
      <c r="B2925" s="19"/>
      <c r="C2925" s="19"/>
      <c r="D2925" s="19"/>
      <c r="E2925" s="19"/>
      <c r="F2925" s="19"/>
      <c r="G2925" s="19"/>
      <c r="H2925" s="19"/>
      <c r="I2925" s="19"/>
      <c r="J2925" s="19"/>
      <c r="K2925" s="19"/>
      <c r="L2925" s="19"/>
      <c r="M2925" s="19"/>
      <c r="N2925" s="19"/>
      <c r="O2925" s="19"/>
      <c r="P2925" s="19"/>
      <c r="Q2925" s="19"/>
      <c r="R2925" s="20"/>
    </row>
    <row r="2926" spans="1:19" x14ac:dyDescent="0.35">
      <c r="A2926" s="81"/>
      <c r="B2926" s="17"/>
      <c r="C2926" s="17"/>
      <c r="D2926" s="17"/>
      <c r="E2926" s="17"/>
      <c r="F2926" s="17"/>
      <c r="G2926" s="17"/>
      <c r="H2926" s="17"/>
      <c r="I2926" s="17"/>
      <c r="J2926" s="17"/>
      <c r="K2926" s="17"/>
      <c r="L2926" s="17"/>
      <c r="M2926" s="17"/>
      <c r="N2926" s="17"/>
      <c r="O2926" s="17"/>
      <c r="P2926" s="17"/>
      <c r="Q2926" s="17"/>
      <c r="R2926" s="18"/>
    </row>
    <row r="2927" spans="1:19" x14ac:dyDescent="0.35">
      <c r="A2927" s="81"/>
      <c r="B2927" s="17"/>
      <c r="C2927" s="17"/>
      <c r="D2927" s="17"/>
      <c r="E2927" s="17"/>
      <c r="F2927" s="17"/>
      <c r="G2927" s="17"/>
      <c r="H2927" s="17"/>
      <c r="I2927" s="17"/>
      <c r="J2927" s="17"/>
      <c r="K2927" s="17"/>
      <c r="L2927" s="17"/>
      <c r="M2927" s="17"/>
      <c r="N2927" s="17"/>
      <c r="O2927" s="17"/>
      <c r="P2927" s="17"/>
      <c r="Q2927" s="17"/>
      <c r="R2927" s="18"/>
      <c r="S2927" s="30"/>
    </row>
    <row r="2928" spans="1:19" x14ac:dyDescent="0.35">
      <c r="A2928" s="82"/>
      <c r="B2928" s="19"/>
      <c r="C2928" s="19"/>
      <c r="D2928" s="19"/>
      <c r="E2928" s="19"/>
      <c r="F2928" s="19"/>
      <c r="G2928" s="19"/>
      <c r="H2928" s="19"/>
      <c r="I2928" s="19"/>
      <c r="J2928" s="19"/>
      <c r="K2928" s="19"/>
      <c r="L2928" s="19"/>
      <c r="M2928" s="19"/>
      <c r="N2928" s="19"/>
      <c r="O2928" s="19"/>
      <c r="P2928" s="19"/>
      <c r="Q2928" s="19"/>
      <c r="R2928" s="20"/>
    </row>
    <row r="2929" spans="1:19" x14ac:dyDescent="0.35">
      <c r="A2929" s="82"/>
      <c r="B2929" s="19"/>
      <c r="C2929" s="19"/>
      <c r="D2929" s="19"/>
      <c r="E2929" s="19"/>
      <c r="F2929" s="19"/>
      <c r="G2929" s="19"/>
      <c r="H2929" s="19"/>
      <c r="I2929" s="19"/>
      <c r="J2929" s="19"/>
      <c r="K2929" s="19"/>
      <c r="L2929" s="19"/>
      <c r="M2929" s="19"/>
      <c r="N2929" s="19"/>
      <c r="O2929" s="19"/>
      <c r="P2929" s="19"/>
      <c r="Q2929" s="19"/>
      <c r="R2929" s="20"/>
    </row>
    <row r="2930" spans="1:19" x14ac:dyDescent="0.35">
      <c r="A2930" s="82"/>
      <c r="B2930" s="19"/>
      <c r="C2930" s="19"/>
      <c r="D2930" s="19"/>
      <c r="E2930" s="19"/>
      <c r="F2930" s="19"/>
      <c r="G2930" s="19"/>
      <c r="H2930" s="19"/>
      <c r="I2930" s="19"/>
      <c r="J2930" s="19"/>
      <c r="K2930" s="19"/>
      <c r="L2930" s="19"/>
      <c r="M2930" s="19"/>
      <c r="N2930" s="19"/>
      <c r="O2930" s="19"/>
      <c r="P2930" s="19"/>
      <c r="Q2930" s="19"/>
      <c r="R2930" s="20"/>
    </row>
    <row r="2931" spans="1:19" x14ac:dyDescent="0.35">
      <c r="A2931" s="82"/>
      <c r="B2931" s="19"/>
      <c r="C2931" s="19"/>
      <c r="D2931" s="19"/>
      <c r="E2931" s="19"/>
      <c r="F2931" s="19"/>
      <c r="G2931" s="19"/>
      <c r="H2931" s="19"/>
      <c r="I2931" s="19"/>
      <c r="J2931" s="19"/>
      <c r="K2931" s="19"/>
      <c r="L2931" s="19"/>
      <c r="M2931" s="19"/>
      <c r="N2931" s="19"/>
      <c r="O2931" s="19"/>
      <c r="P2931" s="19"/>
      <c r="Q2931" s="19"/>
      <c r="R2931" s="20"/>
      <c r="S2931" s="30"/>
    </row>
    <row r="2932" spans="1:19" x14ac:dyDescent="0.35">
      <c r="A2932" s="81"/>
      <c r="B2932" s="17"/>
      <c r="C2932" s="17"/>
      <c r="D2932" s="17"/>
      <c r="E2932" s="17"/>
      <c r="F2932" s="17"/>
      <c r="G2932" s="17"/>
      <c r="H2932" s="17"/>
      <c r="I2932" s="17"/>
      <c r="J2932" s="17"/>
      <c r="K2932" s="17"/>
      <c r="L2932" s="17"/>
      <c r="M2932" s="17"/>
      <c r="N2932" s="17"/>
      <c r="O2932" s="17"/>
      <c r="P2932" s="17"/>
      <c r="Q2932" s="17"/>
      <c r="R2932" s="18"/>
      <c r="S2932" s="30"/>
    </row>
    <row r="2933" spans="1:19" x14ac:dyDescent="0.35">
      <c r="A2933" s="81"/>
      <c r="B2933" s="17"/>
      <c r="C2933" s="17"/>
      <c r="D2933" s="17"/>
      <c r="E2933" s="17"/>
      <c r="F2933" s="17"/>
      <c r="G2933" s="17"/>
      <c r="H2933" s="17"/>
      <c r="I2933" s="17"/>
      <c r="J2933" s="17"/>
      <c r="K2933" s="17"/>
      <c r="L2933" s="17"/>
      <c r="M2933" s="17"/>
      <c r="N2933" s="17"/>
      <c r="O2933" s="17"/>
      <c r="P2933" s="17"/>
      <c r="Q2933" s="17"/>
      <c r="R2933" s="18"/>
    </row>
    <row r="2934" spans="1:19" x14ac:dyDescent="0.35">
      <c r="A2934" s="81"/>
      <c r="B2934" s="17"/>
      <c r="C2934" s="17"/>
      <c r="D2934" s="17"/>
      <c r="E2934" s="17"/>
      <c r="F2934" s="17"/>
      <c r="G2934" s="17"/>
      <c r="H2934" s="17"/>
      <c r="I2934" s="17"/>
      <c r="J2934" s="17"/>
      <c r="K2934" s="17"/>
      <c r="L2934" s="17"/>
      <c r="M2934" s="17"/>
      <c r="N2934" s="17"/>
      <c r="O2934" s="17"/>
      <c r="P2934" s="17"/>
      <c r="Q2934" s="17"/>
      <c r="R2934" s="18"/>
    </row>
    <row r="2935" spans="1:19" x14ac:dyDescent="0.35">
      <c r="A2935" s="81"/>
      <c r="B2935" s="17"/>
      <c r="C2935" s="17"/>
      <c r="D2935" s="17"/>
      <c r="E2935" s="17"/>
      <c r="F2935" s="17"/>
      <c r="G2935" s="17"/>
      <c r="H2935" s="17"/>
      <c r="I2935" s="17"/>
      <c r="J2935" s="17"/>
      <c r="K2935" s="17"/>
      <c r="L2935" s="17"/>
      <c r="M2935" s="17"/>
      <c r="N2935" s="17"/>
      <c r="O2935" s="17"/>
      <c r="P2935" s="17"/>
      <c r="Q2935" s="17"/>
      <c r="R2935" s="18"/>
      <c r="S2935" s="30"/>
    </row>
    <row r="2936" spans="1:19" x14ac:dyDescent="0.35">
      <c r="A2936" s="82"/>
      <c r="B2936" s="19"/>
      <c r="C2936" s="19"/>
      <c r="D2936" s="19"/>
      <c r="E2936" s="19"/>
      <c r="F2936" s="19"/>
      <c r="G2936" s="19"/>
      <c r="H2936" s="19"/>
      <c r="I2936" s="19"/>
      <c r="J2936" s="19"/>
      <c r="K2936" s="19"/>
      <c r="L2936" s="19"/>
      <c r="M2936" s="19"/>
      <c r="N2936" s="19"/>
      <c r="O2936" s="19"/>
      <c r="P2936" s="19"/>
      <c r="Q2936" s="19"/>
      <c r="R2936" s="20"/>
    </row>
    <row r="2937" spans="1:19" x14ac:dyDescent="0.35">
      <c r="A2937" s="82"/>
      <c r="B2937" s="19"/>
      <c r="C2937" s="19"/>
      <c r="D2937" s="19"/>
      <c r="E2937" s="19"/>
      <c r="F2937" s="19"/>
      <c r="G2937" s="19"/>
      <c r="H2937" s="19"/>
      <c r="I2937" s="19"/>
      <c r="J2937" s="19"/>
      <c r="K2937" s="19"/>
      <c r="L2937" s="19"/>
      <c r="M2937" s="19"/>
      <c r="N2937" s="19"/>
      <c r="O2937" s="19"/>
      <c r="P2937" s="19"/>
      <c r="Q2937" s="19"/>
      <c r="R2937" s="20"/>
    </row>
    <row r="2938" spans="1:19" x14ac:dyDescent="0.35">
      <c r="A2938" s="81"/>
      <c r="B2938" s="17"/>
      <c r="C2938" s="17"/>
      <c r="D2938" s="17"/>
      <c r="E2938" s="17"/>
      <c r="F2938" s="17"/>
      <c r="G2938" s="17"/>
      <c r="H2938" s="17"/>
      <c r="I2938" s="17"/>
      <c r="J2938" s="17"/>
      <c r="K2938" s="17"/>
      <c r="L2938" s="17"/>
      <c r="M2938" s="17"/>
      <c r="N2938" s="17"/>
      <c r="O2938" s="17"/>
      <c r="P2938" s="17"/>
      <c r="Q2938" s="17"/>
      <c r="R2938" s="18"/>
      <c r="S2938" s="30"/>
    </row>
    <row r="2939" spans="1:19" x14ac:dyDescent="0.35">
      <c r="A2939" s="82"/>
      <c r="B2939" s="19"/>
      <c r="C2939" s="19"/>
      <c r="D2939" s="19"/>
      <c r="E2939" s="19"/>
      <c r="F2939" s="19"/>
      <c r="G2939" s="19"/>
      <c r="H2939" s="19"/>
      <c r="I2939" s="19"/>
      <c r="J2939" s="19"/>
      <c r="K2939" s="19"/>
      <c r="L2939" s="19"/>
      <c r="M2939" s="19"/>
      <c r="N2939" s="19"/>
      <c r="O2939" s="19"/>
      <c r="P2939" s="19"/>
      <c r="Q2939" s="19"/>
      <c r="R2939" s="20"/>
    </row>
    <row r="2940" spans="1:19" x14ac:dyDescent="0.35">
      <c r="A2940" s="82"/>
      <c r="B2940" s="19"/>
      <c r="C2940" s="19"/>
      <c r="D2940" s="19"/>
      <c r="E2940" s="19"/>
      <c r="F2940" s="19"/>
      <c r="G2940" s="19"/>
      <c r="H2940" s="19"/>
      <c r="I2940" s="19"/>
      <c r="J2940" s="19"/>
      <c r="K2940" s="19"/>
      <c r="L2940" s="19"/>
      <c r="M2940" s="19"/>
      <c r="N2940" s="19"/>
      <c r="O2940" s="19"/>
      <c r="P2940" s="19"/>
      <c r="Q2940" s="19"/>
      <c r="R2940" s="20"/>
    </row>
    <row r="2941" spans="1:19" x14ac:dyDescent="0.35">
      <c r="A2941" s="81"/>
      <c r="B2941" s="17"/>
      <c r="C2941" s="17"/>
      <c r="D2941" s="17"/>
      <c r="E2941" s="17"/>
      <c r="F2941" s="17"/>
      <c r="G2941" s="17"/>
      <c r="H2941" s="17"/>
      <c r="I2941" s="17"/>
      <c r="J2941" s="17"/>
      <c r="K2941" s="17"/>
      <c r="L2941" s="19"/>
      <c r="M2941" s="19"/>
      <c r="N2941" s="19"/>
      <c r="O2941" s="17"/>
      <c r="P2941" s="17"/>
      <c r="Q2941" s="17"/>
      <c r="R2941" s="18"/>
    </row>
    <row r="2942" spans="1:19" x14ac:dyDescent="0.35">
      <c r="A2942" s="82"/>
      <c r="B2942" s="19"/>
      <c r="C2942" s="19"/>
      <c r="D2942" s="19"/>
      <c r="E2942" s="19"/>
      <c r="F2942" s="19"/>
      <c r="G2942" s="19"/>
      <c r="H2942" s="19"/>
      <c r="I2942" s="19"/>
      <c r="J2942" s="19"/>
      <c r="K2942" s="19"/>
      <c r="L2942" s="19"/>
      <c r="M2942" s="19"/>
      <c r="N2942" s="19"/>
      <c r="O2942" s="19"/>
      <c r="P2942" s="19"/>
      <c r="Q2942" s="19"/>
      <c r="R2942" s="20"/>
    </row>
    <row r="2943" spans="1:19" x14ac:dyDescent="0.35">
      <c r="A2943" s="82"/>
      <c r="B2943" s="19"/>
      <c r="C2943" s="19"/>
      <c r="D2943" s="19"/>
      <c r="E2943" s="19"/>
      <c r="F2943" s="19"/>
      <c r="G2943" s="19"/>
      <c r="H2943" s="19"/>
      <c r="I2943" s="19"/>
      <c r="J2943" s="19"/>
      <c r="K2943" s="19"/>
      <c r="L2943" s="19"/>
      <c r="M2943" s="19"/>
      <c r="N2943" s="19"/>
      <c r="O2943" s="19"/>
      <c r="P2943" s="19"/>
      <c r="Q2943" s="19"/>
      <c r="R2943" s="20"/>
    </row>
    <row r="2944" spans="1:19" x14ac:dyDescent="0.35">
      <c r="A2944" s="81"/>
      <c r="B2944" s="17"/>
      <c r="C2944" s="17"/>
      <c r="D2944" s="17"/>
      <c r="E2944" s="17"/>
      <c r="F2944" s="17"/>
      <c r="G2944" s="17"/>
      <c r="H2944" s="17"/>
      <c r="I2944" s="17"/>
      <c r="J2944" s="17"/>
      <c r="K2944" s="17"/>
      <c r="L2944" s="17"/>
      <c r="M2944" s="17"/>
      <c r="N2944" s="17"/>
      <c r="O2944" s="17"/>
      <c r="P2944" s="17"/>
      <c r="Q2944" s="17"/>
      <c r="R2944" s="18"/>
    </row>
    <row r="2945" spans="1:19" x14ac:dyDescent="0.35">
      <c r="A2945" s="82"/>
      <c r="B2945" s="19"/>
      <c r="C2945" s="19"/>
      <c r="D2945" s="19"/>
      <c r="E2945" s="19"/>
      <c r="F2945" s="19"/>
      <c r="G2945" s="19"/>
      <c r="H2945" s="19"/>
      <c r="I2945" s="19"/>
      <c r="J2945" s="19"/>
      <c r="K2945" s="19"/>
      <c r="L2945" s="19"/>
      <c r="M2945" s="19"/>
      <c r="N2945" s="19"/>
      <c r="O2945" s="19"/>
      <c r="P2945" s="19"/>
      <c r="Q2945" s="19"/>
      <c r="R2945" s="20"/>
    </row>
    <row r="2946" spans="1:19" x14ac:dyDescent="0.35">
      <c r="A2946" s="82"/>
      <c r="B2946" s="19"/>
      <c r="C2946" s="19"/>
      <c r="D2946" s="19"/>
      <c r="E2946" s="19"/>
      <c r="F2946" s="19"/>
      <c r="G2946" s="19"/>
      <c r="H2946" s="19"/>
      <c r="I2946" s="19"/>
      <c r="J2946" s="19"/>
      <c r="K2946" s="19"/>
      <c r="L2946" s="19"/>
      <c r="M2946" s="19"/>
      <c r="N2946" s="19"/>
      <c r="O2946" s="19"/>
      <c r="P2946" s="19"/>
      <c r="Q2946" s="19"/>
      <c r="R2946" s="20"/>
    </row>
    <row r="2947" spans="1:19" x14ac:dyDescent="0.35">
      <c r="A2947" s="82"/>
      <c r="B2947" s="19"/>
      <c r="C2947" s="19"/>
      <c r="D2947" s="19"/>
      <c r="E2947" s="19"/>
      <c r="F2947" s="19"/>
      <c r="G2947" s="19"/>
      <c r="H2947" s="19"/>
      <c r="I2947" s="19"/>
      <c r="J2947" s="19"/>
      <c r="K2947" s="19"/>
      <c r="L2947" s="19"/>
      <c r="M2947" s="19"/>
      <c r="N2947" s="19"/>
      <c r="O2947" s="19"/>
      <c r="P2947" s="19"/>
      <c r="Q2947" s="19"/>
      <c r="R2947" s="20"/>
    </row>
    <row r="2948" spans="1:19" x14ac:dyDescent="0.35">
      <c r="A2948" s="82"/>
      <c r="B2948" s="19"/>
      <c r="C2948" s="19"/>
      <c r="D2948" s="19"/>
      <c r="E2948" s="19"/>
      <c r="F2948" s="19"/>
      <c r="G2948" s="19"/>
      <c r="H2948" s="19"/>
      <c r="I2948" s="19"/>
      <c r="J2948" s="19"/>
      <c r="K2948" s="19"/>
      <c r="L2948" s="19"/>
      <c r="M2948" s="19"/>
      <c r="N2948" s="19"/>
      <c r="O2948" s="19"/>
      <c r="P2948" s="19"/>
      <c r="Q2948" s="19"/>
      <c r="R2948" s="20"/>
    </row>
    <row r="2949" spans="1:19" x14ac:dyDescent="0.35">
      <c r="A2949" s="82"/>
      <c r="B2949" s="19"/>
      <c r="C2949" s="19"/>
      <c r="D2949" s="19"/>
      <c r="E2949" s="19"/>
      <c r="F2949" s="19"/>
      <c r="G2949" s="19"/>
      <c r="H2949" s="19"/>
      <c r="I2949" s="19"/>
      <c r="J2949" s="19"/>
      <c r="K2949" s="19"/>
      <c r="L2949" s="19"/>
      <c r="M2949" s="19"/>
      <c r="N2949" s="19"/>
      <c r="O2949" s="19"/>
      <c r="P2949" s="19"/>
      <c r="Q2949" s="19"/>
      <c r="R2949" s="20"/>
    </row>
    <row r="2950" spans="1:19" x14ac:dyDescent="0.35">
      <c r="A2950" s="81"/>
      <c r="B2950" s="17"/>
      <c r="C2950" s="17"/>
      <c r="D2950" s="17"/>
      <c r="E2950" s="17"/>
      <c r="F2950" s="17"/>
      <c r="G2950" s="17"/>
      <c r="H2950" s="17"/>
      <c r="I2950" s="17"/>
      <c r="J2950" s="17"/>
      <c r="K2950" s="17"/>
      <c r="L2950" s="17"/>
      <c r="M2950" s="17"/>
      <c r="N2950" s="17"/>
      <c r="O2950" s="17"/>
      <c r="P2950" s="17"/>
      <c r="Q2950" s="17"/>
      <c r="R2950" s="18"/>
      <c r="S2950" s="30"/>
    </row>
    <row r="2951" spans="1:19" x14ac:dyDescent="0.35">
      <c r="A2951" s="82"/>
      <c r="B2951" s="19"/>
      <c r="C2951" s="19"/>
      <c r="D2951" s="19"/>
      <c r="E2951" s="19"/>
      <c r="F2951" s="19"/>
      <c r="G2951" s="19"/>
      <c r="H2951" s="19"/>
      <c r="I2951" s="19"/>
      <c r="J2951" s="19"/>
      <c r="K2951" s="19"/>
      <c r="L2951" s="19"/>
      <c r="M2951" s="19"/>
      <c r="N2951" s="19"/>
      <c r="O2951" s="19"/>
      <c r="P2951" s="19"/>
      <c r="Q2951" s="19"/>
      <c r="R2951" s="20"/>
    </row>
    <row r="2952" spans="1:19" x14ac:dyDescent="0.35">
      <c r="A2952" s="82"/>
      <c r="B2952" s="19"/>
      <c r="C2952" s="19"/>
      <c r="D2952" s="19"/>
      <c r="E2952" s="19"/>
      <c r="F2952" s="19"/>
      <c r="G2952" s="19"/>
      <c r="H2952" s="19"/>
      <c r="I2952" s="19"/>
      <c r="J2952" s="19"/>
      <c r="K2952" s="19"/>
      <c r="L2952" s="19"/>
      <c r="M2952" s="19"/>
      <c r="N2952" s="19"/>
      <c r="O2952" s="19"/>
      <c r="P2952" s="19"/>
      <c r="Q2952" s="19"/>
      <c r="R2952" s="20"/>
    </row>
    <row r="2953" spans="1:19" x14ac:dyDescent="0.35">
      <c r="A2953" s="82"/>
      <c r="B2953" s="19"/>
      <c r="C2953" s="19"/>
      <c r="D2953" s="19"/>
      <c r="E2953" s="19"/>
      <c r="F2953" s="19"/>
      <c r="G2953" s="19"/>
      <c r="H2953" s="19"/>
      <c r="I2953" s="19"/>
      <c r="J2953" s="19"/>
      <c r="K2953" s="19"/>
      <c r="L2953" s="19"/>
      <c r="M2953" s="19"/>
      <c r="N2953" s="19"/>
      <c r="O2953" s="19"/>
      <c r="P2953" s="19"/>
      <c r="Q2953" s="19"/>
      <c r="R2953" s="20"/>
    </row>
    <row r="2954" spans="1:19" x14ac:dyDescent="0.35">
      <c r="A2954" s="81"/>
      <c r="B2954" s="17"/>
      <c r="C2954" s="17"/>
      <c r="D2954" s="17"/>
      <c r="E2954" s="17"/>
      <c r="F2954" s="17"/>
      <c r="G2954" s="17"/>
      <c r="H2954" s="17"/>
      <c r="I2954" s="17"/>
      <c r="J2954" s="17"/>
      <c r="K2954" s="17"/>
      <c r="L2954" s="17"/>
      <c r="M2954" s="17"/>
      <c r="N2954" s="17"/>
      <c r="O2954" s="17"/>
      <c r="P2954" s="17"/>
      <c r="Q2954" s="17"/>
      <c r="R2954" s="18"/>
    </row>
    <row r="2955" spans="1:19" x14ac:dyDescent="0.35">
      <c r="A2955" s="82"/>
      <c r="B2955" s="19"/>
      <c r="C2955" s="19"/>
      <c r="D2955" s="19"/>
      <c r="E2955" s="19"/>
      <c r="F2955" s="19"/>
      <c r="G2955" s="19"/>
      <c r="H2955" s="19"/>
      <c r="I2955" s="19"/>
      <c r="J2955" s="19"/>
      <c r="K2955" s="19"/>
      <c r="L2955" s="19"/>
      <c r="M2955" s="19"/>
      <c r="N2955" s="19"/>
      <c r="O2955" s="19"/>
      <c r="P2955" s="19"/>
      <c r="Q2955" s="19"/>
      <c r="R2955" s="20"/>
    </row>
    <row r="2956" spans="1:19" x14ac:dyDescent="0.35">
      <c r="A2956" s="82"/>
      <c r="B2956" s="19"/>
      <c r="C2956" s="19"/>
      <c r="D2956" s="19"/>
      <c r="E2956" s="19"/>
      <c r="F2956" s="19"/>
      <c r="G2956" s="19"/>
      <c r="H2956" s="19"/>
      <c r="I2956" s="19"/>
      <c r="J2956" s="19"/>
      <c r="K2956" s="19"/>
      <c r="L2956" s="19"/>
      <c r="M2956" s="19"/>
      <c r="N2956" s="19"/>
      <c r="O2956" s="19"/>
      <c r="P2956" s="19"/>
      <c r="Q2956" s="19"/>
      <c r="R2956" s="20"/>
    </row>
    <row r="2957" spans="1:19" x14ac:dyDescent="0.35">
      <c r="A2957" s="82"/>
      <c r="B2957" s="19"/>
      <c r="C2957" s="19"/>
      <c r="D2957" s="19"/>
      <c r="E2957" s="19"/>
      <c r="F2957" s="19"/>
      <c r="G2957" s="19"/>
      <c r="H2957" s="19"/>
      <c r="I2957" s="19"/>
      <c r="J2957" s="19"/>
      <c r="K2957" s="19"/>
      <c r="L2957" s="19"/>
      <c r="M2957" s="19"/>
      <c r="N2957" s="19"/>
      <c r="O2957" s="19"/>
      <c r="P2957" s="19"/>
      <c r="Q2957" s="19"/>
      <c r="R2957" s="20"/>
    </row>
    <row r="2958" spans="1:19" x14ac:dyDescent="0.35">
      <c r="A2958" s="81"/>
      <c r="B2958" s="17"/>
      <c r="C2958" s="17"/>
      <c r="D2958" s="17"/>
      <c r="E2958" s="17"/>
      <c r="F2958" s="17"/>
      <c r="G2958" s="17"/>
      <c r="H2958" s="17"/>
      <c r="I2958" s="17"/>
      <c r="J2958" s="17"/>
      <c r="K2958" s="17"/>
      <c r="L2958" s="17"/>
      <c r="M2958" s="17"/>
      <c r="N2958" s="17"/>
      <c r="O2958" s="17"/>
      <c r="P2958" s="17"/>
      <c r="Q2958" s="17"/>
      <c r="R2958" s="18"/>
    </row>
    <row r="2959" spans="1:19" x14ac:dyDescent="0.35">
      <c r="A2959" s="82"/>
      <c r="B2959" s="19"/>
      <c r="C2959" s="19"/>
      <c r="D2959" s="19"/>
      <c r="E2959" s="19"/>
      <c r="F2959" s="19"/>
      <c r="G2959" s="19"/>
      <c r="H2959" s="19"/>
      <c r="I2959" s="19"/>
      <c r="J2959" s="19"/>
      <c r="K2959" s="19"/>
      <c r="L2959" s="19"/>
      <c r="M2959" s="19"/>
      <c r="N2959" s="19"/>
      <c r="O2959" s="19"/>
      <c r="P2959" s="19"/>
      <c r="Q2959" s="19"/>
      <c r="R2959" s="20"/>
    </row>
    <row r="2960" spans="1:19" x14ac:dyDescent="0.35">
      <c r="A2960" s="81"/>
      <c r="B2960" s="17"/>
      <c r="C2960" s="17"/>
      <c r="D2960" s="17"/>
      <c r="E2960" s="17"/>
      <c r="F2960" s="17"/>
      <c r="G2960" s="17"/>
      <c r="H2960" s="17"/>
      <c r="I2960" s="17"/>
      <c r="J2960" s="17"/>
      <c r="K2960" s="17"/>
      <c r="L2960" s="17"/>
      <c r="M2960" s="17"/>
      <c r="N2960" s="17"/>
      <c r="O2960" s="17"/>
      <c r="P2960" s="17"/>
      <c r="Q2960" s="17"/>
      <c r="R2960" s="18"/>
      <c r="S2960" s="30"/>
    </row>
    <row r="2961" spans="1:19" x14ac:dyDescent="0.35">
      <c r="A2961" s="82"/>
      <c r="B2961" s="19"/>
      <c r="C2961" s="19"/>
      <c r="D2961" s="19"/>
      <c r="E2961" s="19"/>
      <c r="F2961" s="19"/>
      <c r="G2961" s="19"/>
      <c r="H2961" s="19"/>
      <c r="I2961" s="19"/>
      <c r="J2961" s="19"/>
      <c r="K2961" s="19"/>
      <c r="L2961" s="19"/>
      <c r="M2961" s="19"/>
      <c r="N2961" s="19"/>
      <c r="O2961" s="19"/>
      <c r="P2961" s="19"/>
      <c r="Q2961" s="19"/>
      <c r="R2961" s="20"/>
    </row>
    <row r="2962" spans="1:19" x14ac:dyDescent="0.35">
      <c r="A2962" s="82"/>
      <c r="B2962" s="19"/>
      <c r="C2962" s="19"/>
      <c r="D2962" s="19"/>
      <c r="E2962" s="19"/>
      <c r="F2962" s="19"/>
      <c r="G2962" s="19"/>
      <c r="H2962" s="19"/>
      <c r="I2962" s="19"/>
      <c r="J2962" s="19"/>
      <c r="K2962" s="19"/>
      <c r="L2962" s="19"/>
      <c r="M2962" s="19"/>
      <c r="N2962" s="19"/>
      <c r="O2962" s="19"/>
      <c r="P2962" s="19"/>
      <c r="Q2962" s="19"/>
      <c r="R2962" s="20"/>
    </row>
    <row r="2963" spans="1:19" x14ac:dyDescent="0.35">
      <c r="A2963" s="82"/>
      <c r="B2963" s="19"/>
      <c r="C2963" s="19"/>
      <c r="D2963" s="19"/>
      <c r="E2963" s="19"/>
      <c r="F2963" s="19"/>
      <c r="G2963" s="19"/>
      <c r="H2963" s="19"/>
      <c r="I2963" s="19"/>
      <c r="J2963" s="19"/>
      <c r="K2963" s="19"/>
      <c r="L2963" s="19"/>
      <c r="M2963" s="19"/>
      <c r="N2963" s="19"/>
      <c r="O2963" s="19"/>
      <c r="P2963" s="19"/>
      <c r="Q2963" s="19"/>
      <c r="R2963" s="20"/>
    </row>
    <row r="2964" spans="1:19" x14ac:dyDescent="0.35">
      <c r="A2964" s="82"/>
      <c r="B2964" s="19"/>
      <c r="C2964" s="19"/>
      <c r="D2964" s="19"/>
      <c r="E2964" s="19"/>
      <c r="F2964" s="19"/>
      <c r="G2964" s="19"/>
      <c r="H2964" s="19"/>
      <c r="I2964" s="19"/>
      <c r="J2964" s="19"/>
      <c r="K2964" s="19"/>
      <c r="L2964" s="19"/>
      <c r="M2964" s="19"/>
      <c r="N2964" s="19"/>
      <c r="O2964" s="19"/>
      <c r="P2964" s="19"/>
      <c r="Q2964" s="19"/>
      <c r="R2964" s="20"/>
    </row>
    <row r="2965" spans="1:19" x14ac:dyDescent="0.35">
      <c r="A2965" s="81"/>
      <c r="B2965" s="17"/>
      <c r="C2965" s="17"/>
      <c r="D2965" s="17"/>
      <c r="E2965" s="17"/>
      <c r="F2965" s="17"/>
      <c r="G2965" s="17"/>
      <c r="H2965" s="17"/>
      <c r="I2965" s="17"/>
      <c r="J2965" s="17"/>
      <c r="K2965" s="17"/>
      <c r="L2965" s="17"/>
      <c r="M2965" s="17"/>
      <c r="N2965" s="17"/>
      <c r="O2965" s="17"/>
      <c r="P2965" s="17"/>
      <c r="Q2965" s="17"/>
      <c r="R2965" s="18"/>
      <c r="S2965" s="30"/>
    </row>
    <row r="2966" spans="1:19" x14ac:dyDescent="0.35">
      <c r="A2966" s="81"/>
      <c r="B2966" s="17"/>
      <c r="C2966" s="17"/>
      <c r="D2966" s="17"/>
      <c r="E2966" s="17"/>
      <c r="F2966" s="17"/>
      <c r="G2966" s="17"/>
      <c r="H2966" s="17"/>
      <c r="I2966" s="17"/>
      <c r="J2966" s="17"/>
      <c r="K2966" s="17"/>
      <c r="L2966" s="17"/>
      <c r="M2966" s="17"/>
      <c r="N2966" s="17"/>
      <c r="O2966" s="17"/>
      <c r="P2966" s="17"/>
      <c r="Q2966" s="17"/>
      <c r="R2966" s="18"/>
    </row>
    <row r="2967" spans="1:19" x14ac:dyDescent="0.35">
      <c r="A2967" s="82"/>
      <c r="B2967" s="19"/>
      <c r="C2967" s="19"/>
      <c r="D2967" s="19"/>
      <c r="E2967" s="19"/>
      <c r="F2967" s="19"/>
      <c r="G2967" s="19"/>
      <c r="H2967" s="19"/>
      <c r="I2967" s="19"/>
      <c r="J2967" s="19"/>
      <c r="K2967" s="19"/>
      <c r="L2967" s="19"/>
      <c r="M2967" s="19"/>
      <c r="N2967" s="19"/>
      <c r="O2967" s="19"/>
      <c r="P2967" s="19"/>
      <c r="Q2967" s="19"/>
      <c r="R2967" s="20"/>
    </row>
    <row r="2968" spans="1:19" x14ac:dyDescent="0.35">
      <c r="A2968" s="81"/>
      <c r="B2968" s="17"/>
      <c r="C2968" s="17"/>
      <c r="D2968" s="17"/>
      <c r="E2968" s="17"/>
      <c r="F2968" s="17"/>
      <c r="G2968" s="17"/>
      <c r="H2968" s="17"/>
      <c r="I2968" s="17"/>
      <c r="J2968" s="17"/>
      <c r="K2968" s="17"/>
      <c r="L2968" s="17"/>
      <c r="M2968" s="17"/>
      <c r="N2968" s="17"/>
      <c r="O2968" s="17"/>
      <c r="P2968" s="17"/>
      <c r="Q2968" s="17"/>
      <c r="R2968" s="18"/>
      <c r="S2968" s="30"/>
    </row>
    <row r="2969" spans="1:19" x14ac:dyDescent="0.35">
      <c r="A2969" s="82"/>
      <c r="B2969" s="19"/>
      <c r="C2969" s="19"/>
      <c r="D2969" s="19"/>
      <c r="E2969" s="19"/>
      <c r="F2969" s="19"/>
      <c r="G2969" s="19"/>
      <c r="H2969" s="19"/>
      <c r="I2969" s="19"/>
      <c r="J2969" s="19"/>
      <c r="K2969" s="19"/>
      <c r="L2969" s="19"/>
      <c r="M2969" s="19"/>
      <c r="N2969" s="19"/>
      <c r="O2969" s="19"/>
      <c r="P2969" s="19"/>
      <c r="Q2969" s="19"/>
      <c r="R2969" s="20"/>
    </row>
    <row r="2970" spans="1:19" x14ac:dyDescent="0.35">
      <c r="A2970" s="82"/>
      <c r="B2970" s="19"/>
      <c r="C2970" s="19"/>
      <c r="D2970" s="19"/>
      <c r="E2970" s="19"/>
      <c r="F2970" s="19"/>
      <c r="G2970" s="19"/>
      <c r="H2970" s="19"/>
      <c r="I2970" s="19"/>
      <c r="J2970" s="19"/>
      <c r="K2970" s="19"/>
      <c r="L2970" s="19"/>
      <c r="M2970" s="19"/>
      <c r="N2970" s="19"/>
      <c r="O2970" s="19"/>
      <c r="P2970" s="19"/>
      <c r="Q2970" s="19"/>
      <c r="R2970" s="20"/>
    </row>
    <row r="2971" spans="1:19" x14ac:dyDescent="0.35">
      <c r="A2971" s="82"/>
      <c r="B2971" s="19"/>
      <c r="C2971" s="19"/>
      <c r="D2971" s="19"/>
      <c r="E2971" s="19"/>
      <c r="F2971" s="19"/>
      <c r="G2971" s="19"/>
      <c r="H2971" s="19"/>
      <c r="I2971" s="19"/>
      <c r="J2971" s="19"/>
      <c r="K2971" s="19"/>
      <c r="L2971" s="19"/>
      <c r="M2971" s="19"/>
      <c r="N2971" s="19"/>
      <c r="O2971" s="19"/>
      <c r="P2971" s="19"/>
      <c r="Q2971" s="19"/>
      <c r="R2971" s="20"/>
    </row>
    <row r="2972" spans="1:19" x14ac:dyDescent="0.35">
      <c r="A2972" s="82"/>
      <c r="B2972" s="19"/>
      <c r="C2972" s="19"/>
      <c r="D2972" s="19"/>
      <c r="E2972" s="19"/>
      <c r="F2972" s="19"/>
      <c r="G2972" s="19"/>
      <c r="H2972" s="19"/>
      <c r="I2972" s="19"/>
      <c r="J2972" s="19"/>
      <c r="K2972" s="19"/>
      <c r="L2972" s="19"/>
      <c r="M2972" s="19"/>
      <c r="N2972" s="19"/>
      <c r="O2972" s="19"/>
      <c r="P2972" s="19"/>
      <c r="Q2972" s="19"/>
      <c r="R2972" s="20"/>
    </row>
    <row r="2973" spans="1:19" x14ac:dyDescent="0.35">
      <c r="A2973" s="82"/>
      <c r="B2973" s="19"/>
      <c r="C2973" s="19"/>
      <c r="D2973" s="19"/>
      <c r="E2973" s="19"/>
      <c r="F2973" s="19"/>
      <c r="G2973" s="19"/>
      <c r="H2973" s="19"/>
      <c r="I2973" s="19"/>
      <c r="J2973" s="19"/>
      <c r="K2973" s="19"/>
      <c r="L2973" s="19"/>
      <c r="M2973" s="19"/>
      <c r="N2973" s="19"/>
      <c r="O2973" s="19"/>
      <c r="P2973" s="19"/>
      <c r="Q2973" s="19"/>
      <c r="R2973" s="20"/>
    </row>
    <row r="2974" spans="1:19" x14ac:dyDescent="0.35">
      <c r="A2974" s="82"/>
      <c r="B2974" s="19"/>
      <c r="C2974" s="19"/>
      <c r="D2974" s="19"/>
      <c r="E2974" s="19"/>
      <c r="F2974" s="19"/>
      <c r="G2974" s="19"/>
      <c r="H2974" s="19"/>
      <c r="I2974" s="19"/>
      <c r="J2974" s="19"/>
      <c r="K2974" s="19"/>
      <c r="L2974" s="19"/>
      <c r="M2974" s="19"/>
      <c r="N2974" s="19"/>
      <c r="O2974" s="19"/>
      <c r="P2974" s="19"/>
      <c r="Q2974" s="19"/>
      <c r="R2974" s="20"/>
    </row>
    <row r="2975" spans="1:19" x14ac:dyDescent="0.35">
      <c r="A2975" s="82"/>
      <c r="B2975" s="19"/>
      <c r="C2975" s="19"/>
      <c r="D2975" s="19"/>
      <c r="E2975" s="19"/>
      <c r="F2975" s="19"/>
      <c r="G2975" s="19"/>
      <c r="H2975" s="19"/>
      <c r="I2975" s="19"/>
      <c r="J2975" s="19"/>
      <c r="K2975" s="19"/>
      <c r="L2975" s="19"/>
      <c r="M2975" s="19"/>
      <c r="N2975" s="19"/>
      <c r="O2975" s="19"/>
      <c r="P2975" s="19"/>
      <c r="Q2975" s="19"/>
      <c r="R2975" s="20"/>
    </row>
    <row r="2976" spans="1:19" x14ac:dyDescent="0.35">
      <c r="A2976" s="81"/>
      <c r="B2976" s="17"/>
      <c r="C2976" s="17"/>
      <c r="D2976" s="17"/>
      <c r="E2976" s="17"/>
      <c r="F2976" s="17"/>
      <c r="G2976" s="17"/>
      <c r="H2976" s="17"/>
      <c r="I2976" s="17"/>
      <c r="J2976" s="17"/>
      <c r="K2976" s="17"/>
      <c r="L2976" s="17"/>
      <c r="M2976" s="17"/>
      <c r="N2976" s="17"/>
      <c r="O2976" s="17"/>
      <c r="P2976" s="17"/>
      <c r="Q2976" s="17"/>
      <c r="R2976" s="18"/>
      <c r="S2976" s="30"/>
    </row>
    <row r="2977" spans="1:19" x14ac:dyDescent="0.35">
      <c r="A2977" s="81"/>
      <c r="B2977" s="17"/>
      <c r="C2977" s="17"/>
      <c r="D2977" s="17"/>
      <c r="E2977" s="17"/>
      <c r="F2977" s="17"/>
      <c r="G2977" s="17"/>
      <c r="H2977" s="17"/>
      <c r="I2977" s="17"/>
      <c r="J2977" s="17"/>
      <c r="K2977" s="17"/>
      <c r="L2977" s="17"/>
      <c r="M2977" s="17"/>
      <c r="N2977" s="17"/>
      <c r="O2977" s="17"/>
      <c r="P2977" s="17"/>
      <c r="Q2977" s="17"/>
      <c r="R2977" s="18"/>
      <c r="S2977" s="30"/>
    </row>
    <row r="2978" spans="1:19" x14ac:dyDescent="0.35">
      <c r="A2978" s="82"/>
      <c r="B2978" s="19"/>
      <c r="C2978" s="19"/>
      <c r="D2978" s="19"/>
      <c r="E2978" s="19"/>
      <c r="F2978" s="19"/>
      <c r="G2978" s="19"/>
      <c r="H2978" s="19"/>
      <c r="I2978" s="19"/>
      <c r="J2978" s="19"/>
      <c r="K2978" s="19"/>
      <c r="L2978" s="19"/>
      <c r="M2978" s="19"/>
      <c r="N2978" s="19"/>
      <c r="O2978" s="19"/>
      <c r="P2978" s="19"/>
      <c r="Q2978" s="19"/>
      <c r="R2978" s="20"/>
    </row>
    <row r="2979" spans="1:19" x14ac:dyDescent="0.35">
      <c r="A2979" s="82"/>
      <c r="B2979" s="19"/>
      <c r="C2979" s="19"/>
      <c r="D2979" s="19"/>
      <c r="E2979" s="19"/>
      <c r="F2979" s="19"/>
      <c r="G2979" s="19"/>
      <c r="H2979" s="19"/>
      <c r="I2979" s="19"/>
      <c r="J2979" s="19"/>
      <c r="K2979" s="19"/>
      <c r="L2979" s="19"/>
      <c r="M2979" s="19"/>
      <c r="N2979" s="19"/>
      <c r="O2979" s="19"/>
      <c r="P2979" s="19"/>
      <c r="Q2979" s="19"/>
      <c r="R2979" s="20"/>
    </row>
    <row r="2980" spans="1:19" x14ac:dyDescent="0.35">
      <c r="A2980" s="81"/>
      <c r="B2980" s="17"/>
      <c r="C2980" s="17"/>
      <c r="D2980" s="17"/>
      <c r="E2980" s="17"/>
      <c r="F2980" s="17"/>
      <c r="G2980" s="17"/>
      <c r="H2980" s="17"/>
      <c r="I2980" s="17"/>
      <c r="J2980" s="17"/>
      <c r="K2980" s="17"/>
      <c r="L2980" s="17"/>
      <c r="M2980" s="17"/>
      <c r="N2980" s="17"/>
      <c r="O2980" s="17"/>
      <c r="P2980" s="17"/>
      <c r="Q2980" s="17"/>
      <c r="R2980" s="18"/>
      <c r="S2980" s="30"/>
    </row>
    <row r="2981" spans="1:19" x14ac:dyDescent="0.35">
      <c r="A2981" s="82"/>
      <c r="B2981" s="19"/>
      <c r="C2981" s="19"/>
      <c r="D2981" s="19"/>
      <c r="E2981" s="19"/>
      <c r="F2981" s="19"/>
      <c r="G2981" s="19"/>
      <c r="H2981" s="19"/>
      <c r="I2981" s="19"/>
      <c r="J2981" s="19"/>
      <c r="K2981" s="19"/>
      <c r="L2981" s="19"/>
      <c r="M2981" s="19"/>
      <c r="N2981" s="19"/>
      <c r="O2981" s="19"/>
      <c r="P2981" s="19"/>
      <c r="Q2981" s="19"/>
      <c r="R2981" s="20"/>
    </row>
    <row r="2982" spans="1:19" x14ac:dyDescent="0.35">
      <c r="A2982" s="82"/>
      <c r="B2982" s="19"/>
      <c r="C2982" s="19"/>
      <c r="D2982" s="19"/>
      <c r="E2982" s="19"/>
      <c r="F2982" s="19"/>
      <c r="G2982" s="19"/>
      <c r="H2982" s="19"/>
      <c r="I2982" s="19"/>
      <c r="J2982" s="19"/>
      <c r="K2982" s="19"/>
      <c r="L2982" s="19"/>
      <c r="M2982" s="19"/>
      <c r="N2982" s="19"/>
      <c r="O2982" s="19"/>
      <c r="P2982" s="19"/>
      <c r="Q2982" s="19"/>
      <c r="R2982" s="20"/>
    </row>
    <row r="2983" spans="1:19" x14ac:dyDescent="0.35">
      <c r="A2983" s="82"/>
      <c r="B2983" s="19"/>
      <c r="C2983" s="19"/>
      <c r="D2983" s="19"/>
      <c r="E2983" s="19"/>
      <c r="F2983" s="19"/>
      <c r="G2983" s="19"/>
      <c r="H2983" s="19"/>
      <c r="I2983" s="19"/>
      <c r="J2983" s="19"/>
      <c r="K2983" s="19"/>
      <c r="L2983" s="19"/>
      <c r="M2983" s="19"/>
      <c r="N2983" s="19"/>
      <c r="O2983" s="19"/>
      <c r="P2983" s="19"/>
      <c r="Q2983" s="19"/>
      <c r="R2983" s="20"/>
    </row>
    <row r="2984" spans="1:19" x14ac:dyDescent="0.35">
      <c r="A2984" s="81"/>
      <c r="B2984" s="17"/>
      <c r="C2984" s="17"/>
      <c r="D2984" s="17"/>
      <c r="E2984" s="17"/>
      <c r="F2984" s="17"/>
      <c r="G2984" s="17"/>
      <c r="H2984" s="17"/>
      <c r="I2984" s="17"/>
      <c r="J2984" s="17"/>
      <c r="K2984" s="17"/>
      <c r="L2984" s="17"/>
      <c r="M2984" s="17"/>
      <c r="N2984" s="17"/>
      <c r="O2984" s="17"/>
      <c r="P2984" s="17"/>
      <c r="Q2984" s="17"/>
      <c r="R2984" s="18"/>
    </row>
    <row r="2985" spans="1:19" x14ac:dyDescent="0.35">
      <c r="A2985" s="81"/>
      <c r="B2985" s="17"/>
      <c r="C2985" s="17"/>
      <c r="D2985" s="17"/>
      <c r="E2985" s="17"/>
      <c r="F2985" s="17"/>
      <c r="G2985" s="17"/>
      <c r="H2985" s="17"/>
      <c r="I2985" s="17"/>
      <c r="J2985" s="17"/>
      <c r="K2985" s="17"/>
      <c r="L2985" s="17"/>
      <c r="M2985" s="17"/>
      <c r="N2985" s="17"/>
      <c r="O2985" s="17"/>
      <c r="P2985" s="17"/>
      <c r="Q2985" s="17"/>
      <c r="R2985" s="18"/>
      <c r="S2985" s="30"/>
    </row>
    <row r="2986" spans="1:19" x14ac:dyDescent="0.35">
      <c r="A2986" s="82"/>
      <c r="B2986" s="19"/>
      <c r="C2986" s="19"/>
      <c r="D2986" s="19"/>
      <c r="E2986" s="19"/>
      <c r="F2986" s="19"/>
      <c r="G2986" s="19"/>
      <c r="H2986" s="19"/>
      <c r="I2986" s="19"/>
      <c r="J2986" s="19"/>
      <c r="K2986" s="19"/>
      <c r="L2986" s="19"/>
      <c r="M2986" s="19"/>
      <c r="N2986" s="19"/>
      <c r="O2986" s="19"/>
      <c r="P2986" s="19"/>
      <c r="Q2986" s="19"/>
      <c r="R2986" s="20"/>
    </row>
    <row r="2987" spans="1:19" x14ac:dyDescent="0.35">
      <c r="A2987" s="82"/>
      <c r="B2987" s="19"/>
      <c r="C2987" s="19"/>
      <c r="D2987" s="19"/>
      <c r="E2987" s="19"/>
      <c r="F2987" s="19"/>
      <c r="G2987" s="19"/>
      <c r="H2987" s="19"/>
      <c r="I2987" s="19"/>
      <c r="J2987" s="19"/>
      <c r="K2987" s="19"/>
      <c r="L2987" s="19"/>
      <c r="M2987" s="19"/>
      <c r="N2987" s="19"/>
      <c r="O2987" s="19"/>
      <c r="P2987" s="19"/>
      <c r="Q2987" s="19"/>
      <c r="R2987" s="20"/>
      <c r="S2987" s="20"/>
    </row>
    <row r="2988" spans="1:19" x14ac:dyDescent="0.35">
      <c r="A2988" s="82"/>
      <c r="B2988" s="19"/>
      <c r="C2988" s="19"/>
      <c r="D2988" s="19"/>
      <c r="E2988" s="19"/>
      <c r="F2988" s="19"/>
      <c r="G2988" s="19"/>
      <c r="H2988" s="19"/>
      <c r="I2988" s="19"/>
      <c r="J2988" s="19"/>
      <c r="K2988" s="19"/>
      <c r="L2988" s="19"/>
      <c r="M2988" s="19"/>
      <c r="N2988" s="19"/>
      <c r="O2988" s="19"/>
      <c r="P2988" s="19"/>
      <c r="Q2988" s="19"/>
      <c r="R2988" s="20"/>
      <c r="S2988" s="20"/>
    </row>
    <row r="2989" spans="1:19" x14ac:dyDescent="0.35">
      <c r="A2989" s="82"/>
      <c r="B2989" s="19"/>
      <c r="C2989" s="19"/>
      <c r="D2989" s="19"/>
      <c r="E2989" s="19"/>
      <c r="F2989" s="19"/>
      <c r="G2989" s="19"/>
      <c r="H2989" s="19"/>
      <c r="I2989" s="19"/>
      <c r="J2989" s="19"/>
      <c r="K2989" s="19"/>
      <c r="L2989" s="19"/>
      <c r="M2989" s="19"/>
      <c r="N2989" s="19"/>
      <c r="O2989" s="19"/>
      <c r="P2989" s="19"/>
      <c r="Q2989" s="19"/>
      <c r="R2989" s="20"/>
      <c r="S2989" s="20"/>
    </row>
    <row r="2990" spans="1:19" x14ac:dyDescent="0.35">
      <c r="A2990" s="82"/>
      <c r="B2990" s="19"/>
      <c r="C2990" s="19"/>
      <c r="D2990" s="19"/>
      <c r="E2990" s="19"/>
      <c r="F2990" s="19"/>
      <c r="G2990" s="19"/>
      <c r="H2990" s="19"/>
      <c r="I2990" s="19"/>
      <c r="J2990" s="19"/>
      <c r="K2990" s="19"/>
      <c r="L2990" s="19"/>
      <c r="M2990" s="19"/>
      <c r="N2990" s="19"/>
      <c r="O2990" s="19"/>
      <c r="P2990" s="19"/>
      <c r="Q2990" s="19"/>
      <c r="R2990" s="20"/>
      <c r="S2990" s="20"/>
    </row>
    <row r="2991" spans="1:19" x14ac:dyDescent="0.35">
      <c r="A2991" s="82"/>
      <c r="B2991" s="19"/>
      <c r="C2991" s="19"/>
      <c r="D2991" s="19"/>
      <c r="E2991" s="19"/>
      <c r="F2991" s="19"/>
      <c r="G2991" s="19"/>
      <c r="H2991" s="19"/>
      <c r="I2991" s="19"/>
      <c r="J2991" s="19"/>
      <c r="K2991" s="19"/>
      <c r="L2991" s="19"/>
      <c r="M2991" s="19"/>
      <c r="N2991" s="19"/>
      <c r="O2991" s="19"/>
      <c r="P2991" s="19"/>
      <c r="Q2991" s="19"/>
      <c r="R2991" s="20"/>
      <c r="S2991" s="20"/>
    </row>
    <row r="2992" spans="1:19" x14ac:dyDescent="0.35">
      <c r="A2992" s="81"/>
      <c r="B2992" s="17"/>
      <c r="C2992" s="17"/>
      <c r="D2992" s="17"/>
      <c r="E2992" s="17"/>
      <c r="F2992" s="17"/>
      <c r="G2992" s="17"/>
      <c r="H2992" s="17"/>
      <c r="I2992" s="17"/>
      <c r="J2992" s="17"/>
      <c r="K2992" s="17"/>
      <c r="L2992" s="17"/>
      <c r="M2992" s="17"/>
      <c r="N2992" s="17"/>
      <c r="O2992" s="17"/>
      <c r="P2992" s="17"/>
      <c r="Q2992" s="17"/>
      <c r="R2992" s="18"/>
      <c r="S2992" s="18"/>
    </row>
    <row r="2993" spans="1:19" x14ac:dyDescent="0.35">
      <c r="A2993" s="82"/>
      <c r="B2993" s="19"/>
      <c r="C2993" s="19"/>
      <c r="D2993" s="19"/>
      <c r="E2993" s="19"/>
      <c r="F2993" s="19"/>
      <c r="G2993" s="19"/>
      <c r="H2993" s="19"/>
      <c r="I2993" s="19"/>
      <c r="J2993" s="19"/>
      <c r="K2993" s="19"/>
      <c r="L2993" s="19"/>
      <c r="M2993" s="19"/>
      <c r="N2993" s="19"/>
      <c r="O2993" s="19"/>
      <c r="P2993" s="19"/>
      <c r="Q2993" s="19"/>
      <c r="R2993" s="20"/>
      <c r="S2993" s="20"/>
    </row>
    <row r="2994" spans="1:19" x14ac:dyDescent="0.35">
      <c r="A2994" s="82"/>
      <c r="B2994" s="19"/>
      <c r="C2994" s="19"/>
      <c r="D2994" s="19"/>
      <c r="E2994" s="19"/>
      <c r="F2994" s="19"/>
      <c r="G2994" s="19"/>
      <c r="H2994" s="19"/>
      <c r="I2994" s="19"/>
      <c r="J2994" s="19"/>
      <c r="K2994" s="19"/>
      <c r="L2994" s="19"/>
      <c r="M2994" s="19"/>
      <c r="N2994" s="19"/>
      <c r="O2994" s="19"/>
      <c r="P2994" s="19"/>
      <c r="Q2994" s="19"/>
      <c r="R2994" s="20"/>
      <c r="S2994" s="20"/>
    </row>
    <row r="2995" spans="1:19" x14ac:dyDescent="0.35">
      <c r="A2995" s="82"/>
      <c r="B2995" s="19"/>
      <c r="C2995" s="19"/>
      <c r="D2995" s="19"/>
      <c r="E2995" s="19"/>
      <c r="F2995" s="19"/>
      <c r="G2995" s="19"/>
      <c r="H2995" s="19"/>
      <c r="I2995" s="19"/>
      <c r="J2995" s="19"/>
      <c r="K2995" s="19"/>
      <c r="L2995" s="19"/>
      <c r="M2995" s="19"/>
      <c r="N2995" s="19"/>
      <c r="O2995" s="19"/>
      <c r="P2995" s="19"/>
      <c r="Q2995" s="19"/>
      <c r="R2995" s="20"/>
      <c r="S2995" s="18"/>
    </row>
    <row r="2996" spans="1:19" x14ac:dyDescent="0.35">
      <c r="A2996" s="82"/>
      <c r="B2996" s="19"/>
      <c r="C2996" s="19"/>
      <c r="D2996" s="19"/>
      <c r="E2996" s="19"/>
      <c r="F2996" s="19"/>
      <c r="G2996" s="19"/>
      <c r="H2996" s="19"/>
      <c r="I2996" s="19"/>
      <c r="J2996" s="19"/>
      <c r="K2996" s="19"/>
      <c r="L2996" s="19"/>
      <c r="M2996" s="19"/>
      <c r="N2996" s="19"/>
      <c r="O2996" s="19"/>
      <c r="P2996" s="19"/>
      <c r="Q2996" s="19"/>
      <c r="R2996" s="20"/>
      <c r="S2996" s="20"/>
    </row>
    <row r="2997" spans="1:19" x14ac:dyDescent="0.35">
      <c r="A2997" s="82"/>
      <c r="B2997" s="19"/>
      <c r="C2997" s="19"/>
      <c r="D2997" s="19"/>
      <c r="E2997" s="19"/>
      <c r="F2997" s="19"/>
      <c r="G2997" s="19"/>
      <c r="H2997" s="19"/>
      <c r="I2997" s="19"/>
      <c r="J2997" s="19"/>
      <c r="K2997" s="19"/>
      <c r="L2997" s="19"/>
      <c r="M2997" s="19"/>
      <c r="N2997" s="19"/>
      <c r="O2997" s="19"/>
      <c r="P2997" s="19"/>
      <c r="Q2997" s="19"/>
      <c r="R2997" s="20"/>
      <c r="S2997" s="20"/>
    </row>
    <row r="2998" spans="1:19" x14ac:dyDescent="0.35">
      <c r="A2998" s="82"/>
      <c r="B2998" s="19"/>
      <c r="C2998" s="19"/>
      <c r="D2998" s="19"/>
      <c r="E2998" s="19"/>
      <c r="F2998" s="19"/>
      <c r="G2998" s="19"/>
      <c r="H2998" s="19"/>
      <c r="I2998" s="19"/>
      <c r="J2998" s="19"/>
      <c r="K2998" s="19"/>
      <c r="L2998" s="19"/>
      <c r="M2998" s="19"/>
      <c r="N2998" s="19"/>
      <c r="O2998" s="19"/>
      <c r="P2998" s="19"/>
      <c r="Q2998" s="19"/>
      <c r="R2998" s="20"/>
      <c r="S2998" s="20"/>
    </row>
    <row r="2999" spans="1:19" x14ac:dyDescent="0.35">
      <c r="A2999" s="82"/>
      <c r="B2999" s="19"/>
      <c r="C2999" s="19"/>
      <c r="D2999" s="19"/>
      <c r="E2999" s="19"/>
      <c r="F2999" s="19"/>
      <c r="G2999" s="19"/>
      <c r="H2999" s="19"/>
      <c r="I2999" s="19"/>
      <c r="J2999" s="19"/>
      <c r="K2999" s="19"/>
      <c r="L2999" s="19"/>
      <c r="M2999" s="19"/>
      <c r="N2999" s="19"/>
      <c r="O2999" s="19"/>
      <c r="P2999" s="19"/>
      <c r="Q2999" s="19"/>
      <c r="R2999" s="20"/>
      <c r="S2999" s="20"/>
    </row>
    <row r="3000" spans="1:19" x14ac:dyDescent="0.35">
      <c r="A3000" s="81"/>
      <c r="B3000" s="17"/>
      <c r="C3000" s="17"/>
      <c r="D3000" s="17"/>
      <c r="E3000" s="17"/>
      <c r="F3000" s="17"/>
      <c r="G3000" s="17"/>
      <c r="H3000" s="17"/>
      <c r="I3000" s="17"/>
      <c r="J3000" s="17"/>
      <c r="K3000" s="17"/>
      <c r="L3000" s="19"/>
      <c r="M3000" s="19"/>
      <c r="N3000" s="19"/>
      <c r="O3000" s="17"/>
      <c r="P3000" s="17"/>
      <c r="Q3000" s="17"/>
      <c r="R3000" s="18"/>
      <c r="S3000" s="20"/>
    </row>
    <row r="3001" spans="1:19" x14ac:dyDescent="0.35">
      <c r="A3001" s="82"/>
      <c r="B3001" s="19"/>
      <c r="C3001" s="19"/>
      <c r="D3001" s="19"/>
      <c r="E3001" s="19"/>
      <c r="F3001" s="19"/>
      <c r="G3001" s="19"/>
      <c r="H3001" s="19"/>
      <c r="I3001" s="19"/>
      <c r="J3001" s="19"/>
      <c r="K3001" s="19"/>
      <c r="L3001" s="19"/>
      <c r="M3001" s="19"/>
      <c r="N3001" s="19"/>
      <c r="O3001" s="19"/>
      <c r="P3001" s="19"/>
      <c r="Q3001" s="19"/>
      <c r="R3001" s="20"/>
      <c r="S3001" s="20"/>
    </row>
    <row r="3002" spans="1:19" x14ac:dyDescent="0.35">
      <c r="A3002" s="82"/>
      <c r="B3002" s="19"/>
      <c r="C3002" s="19"/>
      <c r="D3002" s="19"/>
      <c r="E3002" s="19"/>
      <c r="F3002" s="19"/>
      <c r="G3002" s="19"/>
      <c r="H3002" s="19"/>
      <c r="I3002" s="19"/>
      <c r="J3002" s="19"/>
      <c r="K3002" s="19"/>
      <c r="L3002" s="19"/>
      <c r="M3002" s="19"/>
      <c r="N3002" s="19"/>
      <c r="O3002" s="19"/>
      <c r="P3002" s="19"/>
      <c r="Q3002" s="19"/>
      <c r="R3002" s="20"/>
      <c r="S3002" s="20"/>
    </row>
    <row r="3003" spans="1:19" x14ac:dyDescent="0.35">
      <c r="A3003" s="82"/>
      <c r="B3003" s="19"/>
      <c r="C3003" s="19"/>
      <c r="D3003" s="19"/>
      <c r="E3003" s="19"/>
      <c r="F3003" s="19"/>
      <c r="G3003" s="19"/>
      <c r="H3003" s="19"/>
      <c r="I3003" s="19"/>
      <c r="J3003" s="19"/>
      <c r="K3003" s="19"/>
      <c r="L3003" s="19"/>
      <c r="M3003" s="19"/>
      <c r="N3003" s="19"/>
      <c r="O3003" s="19"/>
      <c r="P3003" s="19"/>
      <c r="Q3003" s="19"/>
      <c r="R3003" s="20"/>
      <c r="S3003" s="20"/>
    </row>
    <row r="3004" spans="1:19" x14ac:dyDescent="0.35">
      <c r="A3004" s="81"/>
      <c r="B3004" s="17"/>
      <c r="C3004" s="17"/>
      <c r="D3004" s="17"/>
      <c r="E3004" s="17"/>
      <c r="F3004" s="17"/>
      <c r="G3004" s="17"/>
      <c r="H3004" s="17"/>
      <c r="I3004" s="17"/>
      <c r="J3004" s="17"/>
      <c r="K3004" s="17"/>
      <c r="L3004" s="17"/>
      <c r="M3004" s="17"/>
      <c r="N3004" s="17"/>
      <c r="O3004" s="17"/>
      <c r="P3004" s="17"/>
      <c r="Q3004" s="17"/>
      <c r="R3004" s="20"/>
      <c r="S3004" s="18"/>
    </row>
    <row r="3005" spans="1:19" x14ac:dyDescent="0.35">
      <c r="A3005" s="82"/>
      <c r="B3005" s="19"/>
      <c r="C3005" s="19"/>
      <c r="D3005" s="19"/>
      <c r="E3005" s="19"/>
      <c r="F3005" s="19"/>
      <c r="G3005" s="19"/>
      <c r="H3005" s="19"/>
      <c r="I3005" s="19"/>
      <c r="J3005" s="19"/>
      <c r="K3005" s="19"/>
      <c r="L3005" s="19"/>
      <c r="M3005" s="19"/>
      <c r="N3005" s="19"/>
      <c r="O3005" s="19"/>
      <c r="P3005" s="19"/>
      <c r="Q3005" s="19"/>
      <c r="R3005" s="20"/>
      <c r="S3005" s="20"/>
    </row>
    <row r="3006" spans="1:19" x14ac:dyDescent="0.35">
      <c r="A3006" s="82"/>
      <c r="B3006" s="19"/>
      <c r="C3006" s="19"/>
      <c r="D3006" s="19"/>
      <c r="E3006" s="19"/>
      <c r="F3006" s="19"/>
      <c r="G3006" s="19"/>
      <c r="H3006" s="19"/>
      <c r="I3006" s="19"/>
      <c r="J3006" s="19"/>
      <c r="K3006" s="19"/>
      <c r="L3006" s="19"/>
      <c r="M3006" s="19"/>
      <c r="N3006" s="19"/>
      <c r="O3006" s="19"/>
      <c r="P3006" s="19"/>
      <c r="Q3006" s="19"/>
      <c r="R3006" s="20"/>
      <c r="S3006" s="20"/>
    </row>
    <row r="3007" spans="1:19" x14ac:dyDescent="0.35">
      <c r="A3007" s="82"/>
      <c r="B3007" s="19"/>
      <c r="C3007" s="19"/>
      <c r="D3007" s="19"/>
      <c r="E3007" s="19"/>
      <c r="F3007" s="19"/>
      <c r="G3007" s="19"/>
      <c r="H3007" s="19"/>
      <c r="I3007" s="19"/>
      <c r="J3007" s="19"/>
      <c r="K3007" s="19"/>
      <c r="L3007" s="19"/>
      <c r="M3007" s="19"/>
      <c r="N3007" s="19"/>
      <c r="O3007" s="19"/>
      <c r="P3007" s="19"/>
      <c r="Q3007" s="19"/>
      <c r="R3007" s="20"/>
      <c r="S3007" s="20"/>
    </row>
    <row r="3008" spans="1:19" x14ac:dyDescent="0.35">
      <c r="A3008" s="82"/>
      <c r="B3008" s="19"/>
      <c r="C3008" s="19"/>
      <c r="D3008" s="19"/>
      <c r="E3008" s="19"/>
      <c r="F3008" s="19"/>
      <c r="G3008" s="19"/>
      <c r="H3008" s="19"/>
      <c r="I3008" s="19"/>
      <c r="J3008" s="19"/>
      <c r="K3008" s="19"/>
      <c r="L3008" s="19"/>
      <c r="M3008" s="19"/>
      <c r="N3008" s="19"/>
      <c r="O3008" s="19"/>
      <c r="P3008" s="19"/>
      <c r="Q3008" s="19"/>
      <c r="R3008" s="20"/>
      <c r="S3008" s="20"/>
    </row>
    <row r="3009" spans="1:19" x14ac:dyDescent="0.35">
      <c r="A3009" s="81"/>
      <c r="B3009" s="17"/>
      <c r="C3009" s="17"/>
      <c r="D3009" s="17"/>
      <c r="E3009" s="17"/>
      <c r="F3009" s="17"/>
      <c r="G3009" s="17"/>
      <c r="H3009" s="17"/>
      <c r="I3009" s="17"/>
      <c r="J3009" s="17"/>
      <c r="K3009" s="17"/>
      <c r="L3009" s="17"/>
      <c r="M3009" s="17"/>
      <c r="N3009" s="17"/>
      <c r="O3009" s="17"/>
      <c r="P3009" s="17"/>
      <c r="Q3009" s="17"/>
      <c r="R3009" s="18"/>
      <c r="S3009" s="20"/>
    </row>
    <row r="3010" spans="1:19" x14ac:dyDescent="0.35">
      <c r="A3010" s="82"/>
      <c r="B3010" s="19"/>
      <c r="C3010" s="19"/>
      <c r="D3010" s="19"/>
      <c r="E3010" s="19"/>
      <c r="F3010" s="19"/>
      <c r="G3010" s="19"/>
      <c r="H3010" s="19"/>
      <c r="I3010" s="19"/>
      <c r="J3010" s="19"/>
      <c r="K3010" s="19"/>
      <c r="L3010" s="19"/>
      <c r="M3010" s="19"/>
      <c r="N3010" s="19"/>
      <c r="O3010" s="19"/>
      <c r="P3010" s="19"/>
      <c r="Q3010" s="19"/>
      <c r="R3010" s="20"/>
      <c r="S3010" s="20"/>
    </row>
    <row r="3011" spans="1:19" x14ac:dyDescent="0.35">
      <c r="A3011" s="81"/>
      <c r="B3011" s="17"/>
      <c r="C3011" s="17"/>
      <c r="D3011" s="17"/>
      <c r="E3011" s="17"/>
      <c r="F3011" s="17"/>
      <c r="G3011" s="17"/>
      <c r="H3011" s="17"/>
      <c r="I3011" s="17"/>
      <c r="J3011" s="17"/>
      <c r="K3011" s="17"/>
      <c r="L3011" s="17"/>
      <c r="M3011" s="17"/>
      <c r="N3011" s="17"/>
      <c r="O3011" s="17"/>
      <c r="P3011" s="17"/>
      <c r="Q3011" s="17"/>
      <c r="R3011" s="18"/>
      <c r="S3011" s="20"/>
    </row>
    <row r="3012" spans="1:19" x14ac:dyDescent="0.35">
      <c r="A3012" s="81"/>
      <c r="B3012" s="17"/>
      <c r="C3012" s="17"/>
      <c r="D3012" s="17"/>
      <c r="E3012" s="17"/>
      <c r="F3012" s="17"/>
      <c r="G3012" s="17"/>
      <c r="H3012" s="17"/>
      <c r="I3012" s="17"/>
      <c r="J3012" s="17"/>
      <c r="K3012" s="17"/>
      <c r="L3012" s="17"/>
      <c r="M3012" s="17"/>
      <c r="N3012" s="17"/>
      <c r="O3012" s="17"/>
      <c r="P3012" s="17"/>
      <c r="Q3012" s="17"/>
      <c r="R3012" s="18"/>
      <c r="S3012" s="20"/>
    </row>
    <row r="3013" spans="1:19" x14ac:dyDescent="0.35">
      <c r="A3013" s="82"/>
      <c r="B3013" s="19"/>
      <c r="C3013" s="19"/>
      <c r="D3013" s="19"/>
      <c r="E3013" s="19"/>
      <c r="F3013" s="19"/>
      <c r="G3013" s="19"/>
      <c r="H3013" s="19"/>
      <c r="I3013" s="19"/>
      <c r="J3013" s="19"/>
      <c r="K3013" s="19"/>
      <c r="L3013" s="19"/>
      <c r="M3013" s="19"/>
      <c r="N3013" s="19"/>
      <c r="O3013" s="19"/>
      <c r="P3013" s="19"/>
      <c r="Q3013" s="19"/>
      <c r="R3013" s="20"/>
      <c r="S3013" s="20"/>
    </row>
    <row r="3014" spans="1:19" x14ac:dyDescent="0.35">
      <c r="A3014" s="81"/>
      <c r="B3014" s="17"/>
      <c r="C3014" s="17"/>
      <c r="D3014" s="17"/>
      <c r="E3014" s="17"/>
      <c r="F3014" s="17"/>
      <c r="G3014" s="17"/>
      <c r="H3014" s="17"/>
      <c r="I3014" s="17"/>
      <c r="J3014" s="17"/>
      <c r="K3014" s="17"/>
      <c r="L3014" s="17"/>
      <c r="M3014" s="17"/>
      <c r="N3014" s="17"/>
      <c r="O3014" s="17"/>
      <c r="P3014" s="17"/>
      <c r="Q3014" s="17"/>
      <c r="R3014" s="18"/>
      <c r="S3014" s="18"/>
    </row>
    <row r="3015" spans="1:19" x14ac:dyDescent="0.35">
      <c r="A3015" s="82"/>
      <c r="B3015" s="19"/>
      <c r="C3015" s="19"/>
      <c r="D3015" s="19"/>
      <c r="E3015" s="19"/>
      <c r="F3015" s="19"/>
      <c r="G3015" s="19"/>
      <c r="H3015" s="19"/>
      <c r="I3015" s="19"/>
      <c r="J3015" s="19"/>
      <c r="K3015" s="19"/>
      <c r="L3015" s="19"/>
      <c r="M3015" s="19"/>
      <c r="N3015" s="19"/>
      <c r="O3015" s="19"/>
      <c r="P3015" s="19"/>
      <c r="Q3015" s="19"/>
      <c r="R3015" s="20"/>
      <c r="S3015" s="20"/>
    </row>
    <row r="3016" spans="1:19" x14ac:dyDescent="0.35">
      <c r="A3016" s="82"/>
      <c r="B3016" s="19"/>
      <c r="C3016" s="19"/>
      <c r="D3016" s="19"/>
      <c r="E3016" s="19"/>
      <c r="F3016" s="19"/>
      <c r="G3016" s="19"/>
      <c r="H3016" s="19"/>
      <c r="I3016" s="19"/>
      <c r="J3016" s="19"/>
      <c r="K3016" s="19"/>
      <c r="L3016" s="19"/>
      <c r="M3016" s="19"/>
      <c r="N3016" s="19"/>
      <c r="O3016" s="19"/>
      <c r="P3016" s="19"/>
      <c r="Q3016" s="19"/>
      <c r="R3016" s="20"/>
      <c r="S3016" s="20"/>
    </row>
    <row r="3017" spans="1:19" x14ac:dyDescent="0.35">
      <c r="A3017" s="81"/>
      <c r="B3017" s="17"/>
      <c r="C3017" s="17"/>
      <c r="D3017" s="17"/>
      <c r="E3017" s="17"/>
      <c r="F3017" s="17"/>
      <c r="G3017" s="17"/>
      <c r="H3017" s="17"/>
      <c r="I3017" s="17"/>
      <c r="J3017" s="17"/>
      <c r="K3017" s="17"/>
      <c r="L3017" s="17"/>
      <c r="M3017" s="17"/>
      <c r="N3017" s="17"/>
      <c r="O3017" s="17"/>
      <c r="P3017" s="17"/>
      <c r="Q3017" s="17"/>
      <c r="R3017" s="18"/>
      <c r="S3017" s="20"/>
    </row>
    <row r="3018" spans="1:19" x14ac:dyDescent="0.35">
      <c r="A3018" s="81"/>
      <c r="B3018" s="17"/>
      <c r="C3018" s="17"/>
      <c r="D3018" s="17"/>
      <c r="E3018" s="17"/>
      <c r="F3018" s="17"/>
      <c r="G3018" s="17"/>
      <c r="H3018" s="17"/>
      <c r="I3018" s="17"/>
      <c r="J3018" s="17"/>
      <c r="K3018" s="17"/>
      <c r="L3018" s="17"/>
      <c r="M3018" s="17"/>
      <c r="N3018" s="17"/>
      <c r="O3018" s="17"/>
      <c r="P3018" s="17"/>
      <c r="Q3018" s="17"/>
      <c r="R3018" s="18"/>
      <c r="S3018" s="18"/>
    </row>
    <row r="3019" spans="1:19" x14ac:dyDescent="0.35">
      <c r="A3019" s="82"/>
      <c r="B3019" s="19"/>
      <c r="C3019" s="19"/>
      <c r="D3019" s="19"/>
      <c r="E3019" s="19"/>
      <c r="F3019" s="19"/>
      <c r="G3019" s="19"/>
      <c r="H3019" s="19"/>
      <c r="I3019" s="19"/>
      <c r="J3019" s="19"/>
      <c r="K3019" s="19"/>
      <c r="L3019" s="19"/>
      <c r="M3019" s="19"/>
      <c r="N3019" s="19"/>
      <c r="O3019" s="19"/>
      <c r="P3019" s="19"/>
      <c r="Q3019" s="19"/>
      <c r="R3019" s="20"/>
      <c r="S3019" s="20"/>
    </row>
    <row r="3020" spans="1:19" x14ac:dyDescent="0.35">
      <c r="A3020" s="82"/>
      <c r="B3020" s="19"/>
      <c r="C3020" s="19"/>
      <c r="D3020" s="19"/>
      <c r="E3020" s="19"/>
      <c r="F3020" s="19"/>
      <c r="G3020" s="19"/>
      <c r="H3020" s="19"/>
      <c r="I3020" s="19"/>
      <c r="J3020" s="19"/>
      <c r="K3020" s="19"/>
      <c r="L3020" s="19"/>
      <c r="M3020" s="19"/>
      <c r="N3020" s="19"/>
      <c r="O3020" s="19"/>
      <c r="P3020" s="19"/>
      <c r="Q3020" s="19"/>
      <c r="R3020" s="20"/>
      <c r="S3020" s="20"/>
    </row>
    <row r="3021" spans="1:19" x14ac:dyDescent="0.35">
      <c r="A3021" s="82"/>
      <c r="B3021" s="19"/>
      <c r="C3021" s="19"/>
      <c r="D3021" s="19"/>
      <c r="E3021" s="19"/>
      <c r="F3021" s="19"/>
      <c r="G3021" s="19"/>
      <c r="H3021" s="19"/>
      <c r="I3021" s="19"/>
      <c r="J3021" s="19"/>
      <c r="K3021" s="19"/>
      <c r="L3021" s="19"/>
      <c r="M3021" s="19"/>
      <c r="N3021" s="19"/>
      <c r="O3021" s="19"/>
      <c r="P3021" s="19"/>
      <c r="Q3021" s="19"/>
      <c r="R3021" s="20"/>
      <c r="S3021" s="20"/>
    </row>
    <row r="3022" spans="1:19" x14ac:dyDescent="0.35">
      <c r="A3022" s="81"/>
      <c r="B3022" s="17"/>
      <c r="C3022" s="17"/>
      <c r="D3022" s="17"/>
      <c r="E3022" s="17"/>
      <c r="F3022" s="17"/>
      <c r="G3022" s="17"/>
      <c r="H3022" s="17"/>
      <c r="I3022" s="17"/>
      <c r="J3022" s="17"/>
      <c r="K3022" s="17"/>
      <c r="L3022" s="17"/>
      <c r="M3022" s="17"/>
      <c r="N3022" s="17"/>
      <c r="O3022" s="17"/>
      <c r="P3022" s="17"/>
      <c r="Q3022" s="17"/>
      <c r="R3022" s="18"/>
      <c r="S3022" s="20"/>
    </row>
    <row r="3023" spans="1:19" x14ac:dyDescent="0.35">
      <c r="A3023" s="81"/>
      <c r="B3023" s="17"/>
      <c r="C3023" s="17"/>
      <c r="D3023" s="17"/>
      <c r="E3023" s="17"/>
      <c r="F3023" s="17"/>
      <c r="G3023" s="17"/>
      <c r="H3023" s="17"/>
      <c r="I3023" s="17"/>
      <c r="J3023" s="17"/>
      <c r="K3023" s="17"/>
      <c r="L3023" s="17"/>
      <c r="M3023" s="17"/>
      <c r="N3023" s="17"/>
      <c r="O3023" s="17"/>
      <c r="P3023" s="17"/>
      <c r="Q3023" s="17"/>
      <c r="R3023" s="18"/>
      <c r="S3023" s="18"/>
    </row>
    <row r="3024" spans="1:19" x14ac:dyDescent="0.35">
      <c r="A3024" s="81"/>
      <c r="B3024" s="17"/>
      <c r="C3024" s="17"/>
      <c r="D3024" s="17"/>
      <c r="E3024" s="17"/>
      <c r="F3024" s="17"/>
      <c r="G3024" s="17"/>
      <c r="H3024" s="17"/>
      <c r="I3024" s="17"/>
      <c r="J3024" s="17"/>
      <c r="K3024" s="17"/>
      <c r="L3024" s="17"/>
      <c r="M3024" s="17"/>
      <c r="N3024" s="17"/>
      <c r="O3024" s="17"/>
      <c r="P3024" s="17"/>
      <c r="Q3024" s="17"/>
      <c r="R3024" s="18"/>
      <c r="S3024" s="20"/>
    </row>
    <row r="3025" spans="1:19" x14ac:dyDescent="0.35">
      <c r="A3025" s="82"/>
      <c r="B3025" s="19"/>
      <c r="C3025" s="19"/>
      <c r="D3025" s="19"/>
      <c r="E3025" s="19"/>
      <c r="F3025" s="19"/>
      <c r="G3025" s="19"/>
      <c r="H3025" s="19"/>
      <c r="I3025" s="19"/>
      <c r="J3025" s="19"/>
      <c r="K3025" s="19"/>
      <c r="L3025" s="19"/>
      <c r="M3025" s="19"/>
      <c r="N3025" s="19"/>
      <c r="O3025" s="19"/>
      <c r="P3025" s="19"/>
      <c r="Q3025" s="19"/>
      <c r="R3025" s="20"/>
      <c r="S3025" s="20"/>
    </row>
    <row r="3026" spans="1:19" x14ac:dyDescent="0.35">
      <c r="A3026" s="82"/>
      <c r="B3026" s="19"/>
      <c r="C3026" s="19"/>
      <c r="D3026" s="19"/>
      <c r="E3026" s="19"/>
      <c r="F3026" s="19"/>
      <c r="G3026" s="19"/>
      <c r="H3026" s="19"/>
      <c r="I3026" s="19"/>
      <c r="J3026" s="19"/>
      <c r="K3026" s="19"/>
      <c r="L3026" s="19"/>
      <c r="M3026" s="19"/>
      <c r="N3026" s="19"/>
      <c r="O3026" s="19"/>
      <c r="P3026" s="19"/>
      <c r="Q3026" s="19"/>
      <c r="R3026" s="20"/>
      <c r="S3026" s="20"/>
    </row>
    <row r="3027" spans="1:19" x14ac:dyDescent="0.35">
      <c r="A3027" s="82"/>
      <c r="B3027" s="19"/>
      <c r="C3027" s="19"/>
      <c r="D3027" s="19"/>
      <c r="E3027" s="19"/>
      <c r="F3027" s="19"/>
      <c r="G3027" s="19"/>
      <c r="H3027" s="19"/>
      <c r="I3027" s="19"/>
      <c r="J3027" s="19"/>
      <c r="K3027" s="19"/>
      <c r="L3027" s="19"/>
      <c r="M3027" s="19"/>
      <c r="N3027" s="19"/>
      <c r="O3027" s="19"/>
      <c r="P3027" s="19"/>
      <c r="Q3027" s="19"/>
      <c r="R3027" s="20"/>
      <c r="S3027" s="20"/>
    </row>
    <row r="3028" spans="1:19" x14ac:dyDescent="0.35">
      <c r="A3028" s="82"/>
      <c r="B3028" s="19"/>
      <c r="C3028" s="19"/>
      <c r="D3028" s="19"/>
      <c r="E3028" s="19"/>
      <c r="F3028" s="19"/>
      <c r="G3028" s="19"/>
      <c r="H3028" s="19"/>
      <c r="I3028" s="19"/>
      <c r="J3028" s="19"/>
      <c r="K3028" s="19"/>
      <c r="L3028" s="19"/>
      <c r="M3028" s="19"/>
      <c r="N3028" s="19"/>
      <c r="O3028" s="19"/>
      <c r="P3028" s="19"/>
      <c r="Q3028" s="19"/>
      <c r="R3028" s="20"/>
      <c r="S3028" s="20"/>
    </row>
    <row r="3029" spans="1:19" x14ac:dyDescent="0.35">
      <c r="A3029" s="82"/>
      <c r="B3029" s="19"/>
      <c r="C3029" s="19"/>
      <c r="D3029" s="19"/>
      <c r="E3029" s="19"/>
      <c r="F3029" s="19"/>
      <c r="G3029" s="19"/>
      <c r="H3029" s="19"/>
      <c r="I3029" s="19"/>
      <c r="J3029" s="19"/>
      <c r="K3029" s="19"/>
      <c r="L3029" s="19"/>
      <c r="M3029" s="19"/>
      <c r="N3029" s="19"/>
      <c r="O3029" s="19"/>
      <c r="P3029" s="19"/>
      <c r="Q3029" s="19"/>
      <c r="R3029" s="20"/>
      <c r="S3029" s="20"/>
    </row>
    <row r="3030" spans="1:19" x14ac:dyDescent="0.35">
      <c r="A3030" s="82"/>
      <c r="B3030" s="19"/>
      <c r="C3030" s="19"/>
      <c r="D3030" s="19"/>
      <c r="E3030" s="19"/>
      <c r="F3030" s="19"/>
      <c r="G3030" s="19"/>
      <c r="H3030" s="19"/>
      <c r="I3030" s="19"/>
      <c r="J3030" s="19"/>
      <c r="K3030" s="19"/>
      <c r="L3030" s="19"/>
      <c r="M3030" s="19"/>
      <c r="N3030" s="19"/>
      <c r="O3030" s="19"/>
      <c r="P3030" s="19"/>
      <c r="Q3030" s="19"/>
      <c r="R3030" s="20"/>
    </row>
    <row r="3031" spans="1:19" x14ac:dyDescent="0.35">
      <c r="A3031" s="82"/>
      <c r="B3031" s="19"/>
      <c r="C3031" s="19"/>
      <c r="D3031" s="19"/>
      <c r="E3031" s="19"/>
      <c r="F3031" s="19"/>
      <c r="G3031" s="19"/>
      <c r="H3031" s="19"/>
      <c r="I3031" s="19"/>
      <c r="J3031" s="19"/>
      <c r="K3031" s="19"/>
      <c r="L3031" s="19"/>
      <c r="M3031" s="19"/>
      <c r="N3031" s="19"/>
      <c r="O3031" s="19"/>
      <c r="P3031" s="19"/>
      <c r="Q3031" s="19"/>
      <c r="R3031" s="20"/>
    </row>
    <row r="3032" spans="1:19" x14ac:dyDescent="0.35">
      <c r="A3032" s="81"/>
      <c r="B3032" s="17"/>
      <c r="C3032" s="17"/>
      <c r="D3032" s="17"/>
      <c r="E3032" s="17"/>
      <c r="F3032" s="17"/>
      <c r="G3032" s="17"/>
      <c r="H3032" s="17"/>
      <c r="I3032" s="17"/>
      <c r="J3032" s="17"/>
      <c r="K3032" s="17"/>
      <c r="L3032" s="17"/>
      <c r="M3032" s="17"/>
      <c r="N3032" s="17"/>
      <c r="O3032" s="17"/>
      <c r="P3032" s="17"/>
      <c r="Q3032" s="17"/>
      <c r="R3032" s="18"/>
      <c r="S3032" s="30"/>
    </row>
    <row r="3033" spans="1:19" x14ac:dyDescent="0.35">
      <c r="A3033" s="81"/>
      <c r="B3033" s="17"/>
      <c r="C3033" s="17"/>
      <c r="D3033" s="17"/>
      <c r="E3033" s="17"/>
      <c r="F3033" s="17"/>
      <c r="G3033" s="17"/>
      <c r="H3033" s="17"/>
      <c r="I3033" s="17"/>
      <c r="J3033" s="17"/>
      <c r="K3033" s="17"/>
      <c r="L3033" s="17"/>
      <c r="M3033" s="17"/>
      <c r="N3033" s="17"/>
      <c r="O3033" s="17"/>
      <c r="P3033" s="17"/>
      <c r="Q3033" s="17"/>
      <c r="R3033" s="18"/>
    </row>
    <row r="3034" spans="1:19" x14ac:dyDescent="0.35">
      <c r="A3034" s="81"/>
      <c r="B3034" s="17"/>
      <c r="C3034" s="17"/>
      <c r="D3034" s="17"/>
      <c r="E3034" s="17"/>
      <c r="F3034" s="17"/>
      <c r="G3034" s="17"/>
      <c r="H3034" s="17"/>
      <c r="I3034" s="17"/>
      <c r="J3034" s="17"/>
      <c r="K3034" s="17"/>
      <c r="L3034" s="17"/>
      <c r="M3034" s="17"/>
      <c r="N3034" s="17"/>
      <c r="O3034" s="17"/>
      <c r="P3034" s="17"/>
      <c r="Q3034" s="17"/>
      <c r="R3034" s="18"/>
    </row>
    <row r="3035" spans="1:19" x14ac:dyDescent="0.35">
      <c r="A3035" s="81"/>
      <c r="B3035" s="17"/>
      <c r="C3035" s="17"/>
      <c r="D3035" s="17"/>
      <c r="E3035" s="17"/>
      <c r="F3035" s="17"/>
      <c r="G3035" s="17"/>
      <c r="H3035" s="17"/>
      <c r="I3035" s="17"/>
      <c r="J3035" s="17"/>
      <c r="K3035" s="17"/>
      <c r="L3035" s="17"/>
      <c r="M3035" s="17"/>
      <c r="N3035" s="17"/>
      <c r="O3035" s="17"/>
      <c r="P3035" s="17"/>
      <c r="Q3035" s="17"/>
      <c r="R3035" s="18"/>
      <c r="S3035" s="30"/>
    </row>
    <row r="3036" spans="1:19" x14ac:dyDescent="0.35">
      <c r="A3036" s="82"/>
      <c r="B3036" s="19"/>
      <c r="C3036" s="19"/>
      <c r="D3036" s="19"/>
      <c r="E3036" s="19"/>
      <c r="F3036" s="19"/>
      <c r="G3036" s="19"/>
      <c r="H3036" s="19"/>
      <c r="I3036" s="19"/>
      <c r="J3036" s="19"/>
      <c r="K3036" s="19"/>
      <c r="L3036" s="19"/>
      <c r="M3036" s="19"/>
      <c r="N3036" s="19"/>
      <c r="O3036" s="19"/>
      <c r="P3036" s="19"/>
      <c r="Q3036" s="19"/>
      <c r="R3036" s="20"/>
    </row>
    <row r="3037" spans="1:19" x14ac:dyDescent="0.35">
      <c r="A3037" s="82"/>
      <c r="B3037" s="19"/>
      <c r="C3037" s="19"/>
      <c r="D3037" s="19"/>
      <c r="E3037" s="19"/>
      <c r="F3037" s="19"/>
      <c r="G3037" s="19"/>
      <c r="H3037" s="19"/>
      <c r="I3037" s="19"/>
      <c r="J3037" s="19"/>
      <c r="K3037" s="19"/>
      <c r="L3037" s="19"/>
      <c r="M3037" s="19"/>
      <c r="N3037" s="19"/>
      <c r="O3037" s="19"/>
      <c r="P3037" s="19"/>
      <c r="Q3037" s="19"/>
      <c r="R3037" s="20"/>
    </row>
    <row r="3038" spans="1:19" x14ac:dyDescent="0.35">
      <c r="A3038" s="82"/>
      <c r="B3038" s="19"/>
      <c r="C3038" s="19"/>
      <c r="D3038" s="19"/>
      <c r="E3038" s="19"/>
      <c r="F3038" s="19"/>
      <c r="G3038" s="19"/>
      <c r="H3038" s="19"/>
      <c r="I3038" s="19"/>
      <c r="J3038" s="19"/>
      <c r="K3038" s="19"/>
      <c r="L3038" s="19"/>
      <c r="M3038" s="19"/>
      <c r="N3038" s="19"/>
      <c r="O3038" s="19"/>
      <c r="P3038" s="19"/>
      <c r="Q3038" s="19"/>
      <c r="R3038" s="20"/>
    </row>
    <row r="3039" spans="1:19" x14ac:dyDescent="0.35">
      <c r="A3039" s="82"/>
      <c r="B3039" s="19"/>
      <c r="C3039" s="19"/>
      <c r="D3039" s="19"/>
      <c r="E3039" s="19"/>
      <c r="F3039" s="19"/>
      <c r="G3039" s="19"/>
      <c r="H3039" s="19"/>
      <c r="I3039" s="19"/>
      <c r="J3039" s="19"/>
      <c r="K3039" s="19"/>
      <c r="L3039" s="19"/>
      <c r="M3039" s="19"/>
      <c r="N3039" s="19"/>
      <c r="O3039" s="19"/>
      <c r="P3039" s="19"/>
      <c r="Q3039" s="19"/>
      <c r="R3039" s="20"/>
    </row>
    <row r="3040" spans="1:19" x14ac:dyDescent="0.35">
      <c r="A3040" s="82"/>
      <c r="B3040" s="19"/>
      <c r="C3040" s="19"/>
      <c r="D3040" s="19"/>
      <c r="E3040" s="19"/>
      <c r="F3040" s="19"/>
      <c r="G3040" s="19"/>
      <c r="H3040" s="19"/>
      <c r="I3040" s="19"/>
      <c r="J3040" s="19"/>
      <c r="K3040" s="19"/>
      <c r="L3040" s="19"/>
      <c r="M3040" s="19"/>
      <c r="N3040" s="19"/>
      <c r="O3040" s="19"/>
      <c r="P3040" s="19"/>
      <c r="Q3040" s="19"/>
      <c r="R3040" s="20"/>
    </row>
    <row r="3041" spans="1:19" x14ac:dyDescent="0.35">
      <c r="A3041" s="81"/>
      <c r="B3041" s="17"/>
      <c r="C3041" s="17"/>
      <c r="D3041" s="17"/>
      <c r="E3041" s="17"/>
      <c r="F3041" s="17"/>
      <c r="G3041" s="17"/>
      <c r="H3041" s="17"/>
      <c r="I3041" s="17"/>
      <c r="J3041" s="17"/>
      <c r="K3041" s="17"/>
      <c r="L3041" s="17"/>
      <c r="M3041" s="17"/>
      <c r="N3041" s="17"/>
      <c r="O3041" s="17"/>
      <c r="P3041" s="17"/>
      <c r="Q3041" s="17"/>
      <c r="R3041" s="18"/>
      <c r="S3041" s="30"/>
    </row>
    <row r="3042" spans="1:19" x14ac:dyDescent="0.35">
      <c r="A3042" s="82"/>
      <c r="B3042" s="19"/>
      <c r="C3042" s="19"/>
      <c r="D3042" s="19"/>
      <c r="E3042" s="19"/>
      <c r="F3042" s="19"/>
      <c r="G3042" s="19"/>
      <c r="H3042" s="19"/>
      <c r="I3042" s="19"/>
      <c r="J3042" s="19"/>
      <c r="K3042" s="19"/>
      <c r="L3042" s="19"/>
      <c r="M3042" s="19"/>
      <c r="N3042" s="19"/>
      <c r="O3042" s="19"/>
      <c r="P3042" s="19"/>
      <c r="Q3042" s="19"/>
      <c r="R3042" s="20"/>
    </row>
    <row r="3043" spans="1:19" x14ac:dyDescent="0.35">
      <c r="A3043" s="81"/>
      <c r="B3043" s="17"/>
      <c r="C3043" s="17"/>
      <c r="D3043" s="17"/>
      <c r="E3043" s="17"/>
      <c r="F3043" s="17"/>
      <c r="G3043" s="17"/>
      <c r="H3043" s="17"/>
      <c r="I3043" s="17"/>
      <c r="J3043" s="17"/>
      <c r="K3043" s="17"/>
      <c r="L3043" s="17"/>
      <c r="M3043" s="17"/>
      <c r="N3043" s="17"/>
      <c r="O3043" s="17"/>
      <c r="P3043" s="17"/>
      <c r="Q3043" s="17"/>
      <c r="R3043" s="20"/>
      <c r="S3043" s="30"/>
    </row>
    <row r="3044" spans="1:19" x14ac:dyDescent="0.35">
      <c r="A3044" s="82"/>
      <c r="B3044" s="19"/>
      <c r="C3044" s="19"/>
      <c r="D3044" s="19"/>
      <c r="E3044" s="19"/>
      <c r="F3044" s="19"/>
      <c r="G3044" s="19"/>
      <c r="H3044" s="19"/>
      <c r="I3044" s="19"/>
      <c r="J3044" s="19"/>
      <c r="K3044" s="19"/>
      <c r="L3044" s="19"/>
      <c r="M3044" s="19"/>
      <c r="N3044" s="19"/>
      <c r="O3044" s="19"/>
      <c r="P3044" s="19"/>
      <c r="Q3044" s="19"/>
      <c r="R3044" s="20"/>
    </row>
    <row r="3045" spans="1:19" x14ac:dyDescent="0.35">
      <c r="A3045" s="82"/>
      <c r="B3045" s="19"/>
      <c r="C3045" s="19"/>
      <c r="D3045" s="19"/>
      <c r="E3045" s="19"/>
      <c r="F3045" s="19"/>
      <c r="G3045" s="19"/>
      <c r="H3045" s="19"/>
      <c r="I3045" s="19"/>
      <c r="J3045" s="19"/>
      <c r="K3045" s="19"/>
      <c r="L3045" s="19"/>
      <c r="M3045" s="19"/>
      <c r="N3045" s="19"/>
      <c r="O3045" s="19"/>
      <c r="P3045" s="19"/>
      <c r="Q3045" s="19"/>
      <c r="R3045" s="20"/>
    </row>
    <row r="3046" spans="1:19" x14ac:dyDescent="0.35">
      <c r="A3046" s="82"/>
      <c r="B3046" s="19"/>
      <c r="C3046" s="19"/>
      <c r="D3046" s="19"/>
      <c r="E3046" s="19"/>
      <c r="F3046" s="19"/>
      <c r="G3046" s="19"/>
      <c r="H3046" s="19"/>
      <c r="I3046" s="19"/>
      <c r="J3046" s="19"/>
      <c r="K3046" s="19"/>
      <c r="L3046" s="19"/>
      <c r="M3046" s="19"/>
      <c r="N3046" s="19"/>
      <c r="O3046" s="19"/>
      <c r="P3046" s="19"/>
      <c r="Q3046" s="19"/>
      <c r="R3046" s="20"/>
    </row>
    <row r="3047" spans="1:19" x14ac:dyDescent="0.35">
      <c r="A3047" s="82"/>
      <c r="B3047" s="19"/>
      <c r="C3047" s="19"/>
      <c r="D3047" s="19"/>
      <c r="E3047" s="19"/>
      <c r="F3047" s="19"/>
      <c r="G3047" s="19"/>
      <c r="H3047" s="19"/>
      <c r="I3047" s="19"/>
      <c r="J3047" s="19"/>
      <c r="K3047" s="19"/>
      <c r="L3047" s="19"/>
      <c r="M3047" s="19"/>
      <c r="N3047" s="19"/>
      <c r="O3047" s="19"/>
      <c r="P3047" s="19"/>
      <c r="Q3047" s="19"/>
      <c r="R3047" s="20"/>
    </row>
    <row r="3048" spans="1:19" x14ac:dyDescent="0.35">
      <c r="A3048" s="81"/>
      <c r="B3048" s="17"/>
      <c r="C3048" s="17"/>
      <c r="D3048" s="17"/>
      <c r="E3048" s="17"/>
      <c r="F3048" s="17"/>
      <c r="G3048" s="17"/>
      <c r="H3048" s="17"/>
      <c r="I3048" s="17"/>
      <c r="J3048" s="17"/>
      <c r="K3048" s="17"/>
      <c r="L3048" s="17"/>
      <c r="M3048" s="17"/>
      <c r="N3048" s="17"/>
      <c r="O3048" s="17"/>
      <c r="P3048" s="17"/>
      <c r="Q3048" s="17"/>
      <c r="R3048" s="18"/>
      <c r="S3048" s="30"/>
    </row>
    <row r="3049" spans="1:19" x14ac:dyDescent="0.35">
      <c r="A3049" s="81"/>
      <c r="B3049" s="17"/>
      <c r="C3049" s="17"/>
      <c r="D3049" s="17"/>
      <c r="E3049" s="17"/>
      <c r="F3049" s="17"/>
      <c r="G3049" s="17"/>
      <c r="H3049" s="17"/>
      <c r="I3049" s="17"/>
      <c r="J3049" s="17"/>
      <c r="K3049" s="17"/>
      <c r="L3049" s="17"/>
      <c r="M3049" s="17"/>
      <c r="N3049" s="17"/>
      <c r="O3049" s="17"/>
      <c r="P3049" s="17"/>
      <c r="Q3049" s="17"/>
      <c r="R3049" s="18"/>
      <c r="S3049" s="30"/>
    </row>
    <row r="3050" spans="1:19" x14ac:dyDescent="0.35">
      <c r="A3050" s="82"/>
      <c r="B3050" s="19"/>
      <c r="C3050" s="19"/>
      <c r="D3050" s="19"/>
      <c r="E3050" s="19"/>
      <c r="F3050" s="19"/>
      <c r="G3050" s="19"/>
      <c r="H3050" s="19"/>
      <c r="I3050" s="19"/>
      <c r="J3050" s="19"/>
      <c r="K3050" s="19"/>
      <c r="L3050" s="19"/>
      <c r="M3050" s="19"/>
      <c r="N3050" s="19"/>
      <c r="O3050" s="19"/>
      <c r="P3050" s="19"/>
      <c r="Q3050" s="19"/>
      <c r="R3050" s="20"/>
      <c r="S3050" s="30"/>
    </row>
    <row r="3051" spans="1:19" x14ac:dyDescent="0.35">
      <c r="A3051" s="81"/>
      <c r="B3051" s="17"/>
      <c r="C3051" s="17"/>
      <c r="D3051" s="17"/>
      <c r="E3051" s="17"/>
      <c r="F3051" s="17"/>
      <c r="G3051" s="17"/>
      <c r="H3051" s="17"/>
      <c r="I3051" s="17"/>
      <c r="J3051" s="17"/>
      <c r="K3051" s="17"/>
      <c r="L3051" s="17"/>
      <c r="M3051" s="17"/>
      <c r="N3051" s="17"/>
      <c r="O3051" s="17"/>
      <c r="P3051" s="17"/>
      <c r="Q3051" s="17"/>
      <c r="R3051" s="18"/>
    </row>
    <row r="3052" spans="1:19" x14ac:dyDescent="0.35">
      <c r="A3052" s="81"/>
      <c r="B3052" s="17"/>
      <c r="C3052" s="17"/>
      <c r="D3052" s="17"/>
      <c r="E3052" s="17"/>
      <c r="F3052" s="17"/>
      <c r="G3052" s="17"/>
      <c r="H3052" s="17"/>
      <c r="I3052" s="17"/>
      <c r="J3052" s="17"/>
      <c r="K3052" s="17"/>
      <c r="L3052" s="17"/>
      <c r="M3052" s="17"/>
      <c r="N3052" s="17"/>
      <c r="O3052" s="17"/>
      <c r="P3052" s="17"/>
      <c r="Q3052" s="17"/>
      <c r="R3052" s="18"/>
    </row>
    <row r="3053" spans="1:19" x14ac:dyDescent="0.35">
      <c r="A3053" s="81"/>
      <c r="B3053" s="17"/>
      <c r="C3053" s="17"/>
      <c r="D3053" s="17"/>
      <c r="E3053" s="17"/>
      <c r="F3053" s="17"/>
      <c r="G3053" s="17"/>
      <c r="H3053" s="17"/>
      <c r="I3053" s="17"/>
      <c r="J3053" s="17"/>
      <c r="K3053" s="17"/>
      <c r="L3053" s="17"/>
      <c r="M3053" s="17"/>
      <c r="N3053" s="17"/>
      <c r="O3053" s="17"/>
      <c r="P3053" s="17"/>
      <c r="Q3053" s="17"/>
      <c r="R3053" s="18"/>
      <c r="S3053" s="30"/>
    </row>
    <row r="3054" spans="1:19" x14ac:dyDescent="0.35">
      <c r="A3054" s="82"/>
      <c r="B3054" s="19"/>
      <c r="C3054" s="19"/>
      <c r="D3054" s="19"/>
      <c r="E3054" s="19"/>
      <c r="F3054" s="19"/>
      <c r="G3054" s="19"/>
      <c r="H3054" s="19"/>
      <c r="I3054" s="19"/>
      <c r="J3054" s="19"/>
      <c r="K3054" s="19"/>
      <c r="L3054" s="19"/>
      <c r="M3054" s="19"/>
      <c r="N3054" s="19"/>
      <c r="O3054" s="19"/>
      <c r="P3054" s="19"/>
      <c r="Q3054" s="19"/>
      <c r="R3054" s="20"/>
    </row>
    <row r="3055" spans="1:19" x14ac:dyDescent="0.35">
      <c r="A3055" s="82"/>
      <c r="B3055" s="19"/>
      <c r="C3055" s="19"/>
      <c r="D3055" s="19"/>
      <c r="E3055" s="19"/>
      <c r="F3055" s="19"/>
      <c r="G3055" s="19"/>
      <c r="H3055" s="19"/>
      <c r="I3055" s="19"/>
      <c r="J3055" s="19"/>
      <c r="K3055" s="19"/>
      <c r="L3055" s="19"/>
      <c r="M3055" s="19"/>
      <c r="N3055" s="19"/>
      <c r="O3055" s="19"/>
      <c r="P3055" s="19"/>
      <c r="Q3055" s="19"/>
      <c r="R3055" s="20"/>
    </row>
    <row r="3056" spans="1:19" x14ac:dyDescent="0.35">
      <c r="A3056" s="82"/>
      <c r="B3056" s="19"/>
      <c r="C3056" s="19"/>
      <c r="D3056" s="19"/>
      <c r="E3056" s="19"/>
      <c r="F3056" s="19"/>
      <c r="G3056" s="19"/>
      <c r="H3056" s="19"/>
      <c r="I3056" s="19"/>
      <c r="J3056" s="19"/>
      <c r="K3056" s="19"/>
      <c r="L3056" s="19"/>
      <c r="M3056" s="19"/>
      <c r="N3056" s="19"/>
      <c r="O3056" s="19"/>
      <c r="P3056" s="19"/>
      <c r="Q3056" s="19"/>
      <c r="R3056" s="20"/>
    </row>
    <row r="3057" spans="1:19" x14ac:dyDescent="0.35">
      <c r="A3057" s="82"/>
      <c r="B3057" s="19"/>
      <c r="C3057" s="19"/>
      <c r="D3057" s="19"/>
      <c r="E3057" s="19"/>
      <c r="F3057" s="19"/>
      <c r="G3057" s="19"/>
      <c r="H3057" s="19"/>
      <c r="I3057" s="19"/>
      <c r="J3057" s="19"/>
      <c r="K3057" s="19"/>
      <c r="L3057" s="19"/>
      <c r="M3057" s="19"/>
      <c r="N3057" s="19"/>
      <c r="O3057" s="19"/>
      <c r="P3057" s="19"/>
      <c r="Q3057" s="19"/>
      <c r="R3057" s="20"/>
    </row>
    <row r="3058" spans="1:19" x14ac:dyDescent="0.35">
      <c r="A3058" s="82"/>
      <c r="B3058" s="19"/>
      <c r="C3058" s="19"/>
      <c r="D3058" s="19"/>
      <c r="E3058" s="19"/>
      <c r="F3058" s="19"/>
      <c r="G3058" s="19"/>
      <c r="H3058" s="19"/>
      <c r="I3058" s="19"/>
      <c r="J3058" s="19"/>
      <c r="K3058" s="19"/>
      <c r="L3058" s="19"/>
      <c r="M3058" s="19"/>
      <c r="N3058" s="19"/>
      <c r="O3058" s="19"/>
      <c r="P3058" s="19"/>
      <c r="Q3058" s="19"/>
      <c r="R3058" s="20"/>
    </row>
    <row r="3059" spans="1:19" x14ac:dyDescent="0.35">
      <c r="A3059" s="82"/>
      <c r="B3059" s="19"/>
      <c r="C3059" s="19"/>
      <c r="D3059" s="19"/>
      <c r="E3059" s="19"/>
      <c r="F3059" s="19"/>
      <c r="G3059" s="19"/>
      <c r="H3059" s="19"/>
      <c r="I3059" s="19"/>
      <c r="J3059" s="19"/>
      <c r="K3059" s="19"/>
      <c r="L3059" s="19"/>
      <c r="M3059" s="19"/>
      <c r="N3059" s="19"/>
      <c r="O3059" s="19"/>
      <c r="P3059" s="19"/>
      <c r="Q3059" s="19"/>
      <c r="R3059" s="20"/>
    </row>
    <row r="3060" spans="1:19" x14ac:dyDescent="0.35">
      <c r="A3060" s="82"/>
      <c r="B3060" s="19"/>
      <c r="C3060" s="19"/>
      <c r="D3060" s="19"/>
      <c r="E3060" s="19"/>
      <c r="F3060" s="19"/>
      <c r="G3060" s="19"/>
      <c r="H3060" s="19"/>
      <c r="I3060" s="19"/>
      <c r="J3060" s="19"/>
      <c r="K3060" s="19"/>
      <c r="L3060" s="19"/>
      <c r="M3060" s="19"/>
      <c r="N3060" s="19"/>
      <c r="O3060" s="19"/>
      <c r="P3060" s="19"/>
      <c r="Q3060" s="19"/>
      <c r="R3060" s="20"/>
    </row>
    <row r="3061" spans="1:19" x14ac:dyDescent="0.35">
      <c r="A3061" s="82"/>
      <c r="B3061" s="19"/>
      <c r="C3061" s="19"/>
      <c r="D3061" s="19"/>
      <c r="E3061" s="19"/>
      <c r="F3061" s="19"/>
      <c r="G3061" s="19"/>
      <c r="H3061" s="19"/>
      <c r="I3061" s="19"/>
      <c r="J3061" s="19"/>
      <c r="K3061" s="19"/>
      <c r="L3061" s="19"/>
      <c r="M3061" s="19"/>
      <c r="N3061" s="19"/>
      <c r="O3061" s="19"/>
      <c r="P3061" s="19"/>
      <c r="Q3061" s="19"/>
      <c r="R3061" s="20"/>
    </row>
    <row r="3062" spans="1:19" x14ac:dyDescent="0.35">
      <c r="A3062" s="82"/>
      <c r="B3062" s="19"/>
      <c r="C3062" s="19"/>
      <c r="D3062" s="19"/>
      <c r="E3062" s="19"/>
      <c r="F3062" s="19"/>
      <c r="G3062" s="19"/>
      <c r="H3062" s="19"/>
      <c r="I3062" s="19"/>
      <c r="J3062" s="19"/>
      <c r="K3062" s="19"/>
      <c r="L3062" s="19"/>
      <c r="M3062" s="19"/>
      <c r="N3062" s="19"/>
      <c r="O3062" s="19"/>
      <c r="P3062" s="19"/>
      <c r="Q3062" s="19"/>
      <c r="R3062" s="20"/>
    </row>
    <row r="3063" spans="1:19" x14ac:dyDescent="0.35">
      <c r="A3063" s="82"/>
      <c r="B3063" s="19"/>
      <c r="C3063" s="19"/>
      <c r="D3063" s="19"/>
      <c r="E3063" s="19"/>
      <c r="F3063" s="19"/>
      <c r="G3063" s="19"/>
      <c r="H3063" s="19"/>
      <c r="I3063" s="19"/>
      <c r="J3063" s="19"/>
      <c r="K3063" s="19"/>
      <c r="L3063" s="19"/>
      <c r="M3063" s="19"/>
      <c r="N3063" s="19"/>
      <c r="O3063" s="19"/>
      <c r="P3063" s="19"/>
      <c r="Q3063" s="19"/>
      <c r="R3063" s="20"/>
    </row>
    <row r="3064" spans="1:19" x14ac:dyDescent="0.35">
      <c r="A3064" s="82"/>
      <c r="B3064" s="19"/>
      <c r="C3064" s="19"/>
      <c r="D3064" s="19"/>
      <c r="E3064" s="19"/>
      <c r="F3064" s="19"/>
      <c r="G3064" s="19"/>
      <c r="H3064" s="19"/>
      <c r="I3064" s="19"/>
      <c r="J3064" s="19"/>
      <c r="K3064" s="19"/>
      <c r="L3064" s="19"/>
      <c r="M3064" s="19"/>
      <c r="N3064" s="19"/>
      <c r="O3064" s="19"/>
      <c r="P3064" s="19"/>
      <c r="Q3064" s="19"/>
      <c r="R3064" s="20"/>
    </row>
    <row r="3065" spans="1:19" x14ac:dyDescent="0.35">
      <c r="A3065" s="82"/>
      <c r="B3065" s="19"/>
      <c r="C3065" s="19"/>
      <c r="D3065" s="19"/>
      <c r="E3065" s="19"/>
      <c r="F3065" s="19"/>
      <c r="G3065" s="19"/>
      <c r="H3065" s="19"/>
      <c r="I3065" s="19"/>
      <c r="J3065" s="19"/>
      <c r="K3065" s="19"/>
      <c r="L3065" s="19"/>
      <c r="M3065" s="19"/>
      <c r="N3065" s="19"/>
      <c r="O3065" s="19"/>
      <c r="P3065" s="19"/>
      <c r="Q3065" s="19"/>
      <c r="R3065" s="20"/>
    </row>
    <row r="3066" spans="1:19" x14ac:dyDescent="0.35">
      <c r="A3066" s="81"/>
      <c r="B3066" s="17"/>
      <c r="C3066" s="17"/>
      <c r="D3066" s="17"/>
      <c r="E3066" s="17"/>
      <c r="F3066" s="17"/>
      <c r="G3066" s="17"/>
      <c r="H3066" s="17"/>
      <c r="I3066" s="17"/>
      <c r="J3066" s="17"/>
      <c r="K3066" s="17"/>
      <c r="L3066" s="17"/>
      <c r="M3066" s="17"/>
      <c r="N3066" s="17"/>
      <c r="O3066" s="17"/>
      <c r="P3066" s="17"/>
      <c r="Q3066" s="17"/>
      <c r="R3066" s="18"/>
      <c r="S3066" s="30"/>
    </row>
    <row r="3067" spans="1:19" x14ac:dyDescent="0.35">
      <c r="A3067" s="81"/>
      <c r="B3067" s="17"/>
      <c r="C3067" s="17"/>
      <c r="D3067" s="17"/>
      <c r="E3067" s="17"/>
      <c r="F3067" s="17"/>
      <c r="G3067" s="17"/>
      <c r="H3067" s="17"/>
      <c r="I3067" s="17"/>
      <c r="J3067" s="17"/>
      <c r="K3067" s="17"/>
      <c r="L3067" s="17"/>
      <c r="M3067" s="17"/>
      <c r="N3067" s="17"/>
      <c r="O3067" s="17"/>
      <c r="P3067" s="17"/>
      <c r="Q3067" s="17"/>
      <c r="R3067" s="18"/>
    </row>
    <row r="3068" spans="1:19" x14ac:dyDescent="0.35">
      <c r="A3068" s="81"/>
      <c r="B3068" s="17"/>
      <c r="C3068" s="17"/>
      <c r="D3068" s="17"/>
      <c r="E3068" s="17"/>
      <c r="F3068" s="17"/>
      <c r="G3068" s="17"/>
      <c r="H3068" s="17"/>
      <c r="I3068" s="17"/>
      <c r="J3068" s="17"/>
      <c r="K3068" s="17"/>
      <c r="L3068" s="17"/>
      <c r="M3068" s="17"/>
      <c r="N3068" s="17"/>
      <c r="O3068" s="17"/>
      <c r="P3068" s="17"/>
      <c r="Q3068" s="17"/>
      <c r="R3068" s="18"/>
      <c r="S3068" s="30"/>
    </row>
    <row r="3069" spans="1:19" x14ac:dyDescent="0.35">
      <c r="A3069" s="82"/>
      <c r="B3069" s="19"/>
      <c r="C3069" s="19"/>
      <c r="D3069" s="19"/>
      <c r="E3069" s="19"/>
      <c r="F3069" s="19"/>
      <c r="G3069" s="19"/>
      <c r="H3069" s="19"/>
      <c r="I3069" s="19"/>
      <c r="J3069" s="19"/>
      <c r="K3069" s="19"/>
      <c r="L3069" s="19"/>
      <c r="M3069" s="19"/>
      <c r="N3069" s="19"/>
      <c r="O3069" s="19"/>
      <c r="P3069" s="19"/>
      <c r="Q3069" s="19"/>
      <c r="R3069" s="20"/>
    </row>
    <row r="3070" spans="1:19" x14ac:dyDescent="0.35">
      <c r="A3070" s="81"/>
      <c r="B3070" s="17"/>
      <c r="C3070" s="17"/>
      <c r="D3070" s="17"/>
      <c r="E3070" s="17"/>
      <c r="F3070" s="17"/>
      <c r="G3070" s="17"/>
      <c r="H3070" s="17"/>
      <c r="I3070" s="17"/>
      <c r="J3070" s="17"/>
      <c r="K3070" s="17"/>
      <c r="L3070" s="17"/>
      <c r="M3070" s="17"/>
      <c r="N3070" s="17"/>
      <c r="O3070" s="17"/>
      <c r="P3070" s="17"/>
      <c r="Q3070" s="17"/>
      <c r="R3070" s="18"/>
    </row>
    <row r="3071" spans="1:19" x14ac:dyDescent="0.35">
      <c r="A3071" s="81"/>
      <c r="B3071" s="17"/>
      <c r="C3071" s="17"/>
      <c r="D3071" s="17"/>
      <c r="E3071" s="17"/>
      <c r="F3071" s="17"/>
      <c r="G3071" s="17"/>
      <c r="H3071" s="17"/>
      <c r="I3071" s="17"/>
      <c r="J3071" s="17"/>
      <c r="K3071" s="17"/>
      <c r="L3071" s="19"/>
      <c r="M3071" s="19"/>
      <c r="N3071" s="19"/>
      <c r="O3071" s="17"/>
      <c r="P3071" s="17"/>
      <c r="Q3071" s="17"/>
      <c r="R3071" s="18"/>
      <c r="S3071" s="30"/>
    </row>
    <row r="3072" spans="1:19" x14ac:dyDescent="0.35">
      <c r="A3072" s="82"/>
      <c r="B3072" s="19"/>
      <c r="C3072" s="19"/>
      <c r="D3072" s="19"/>
      <c r="E3072" s="19"/>
      <c r="F3072" s="19"/>
      <c r="G3072" s="19"/>
      <c r="H3072" s="19"/>
      <c r="I3072" s="19"/>
      <c r="J3072" s="19"/>
      <c r="K3072" s="19"/>
      <c r="L3072" s="19"/>
      <c r="M3072" s="19"/>
      <c r="N3072" s="19"/>
      <c r="O3072" s="19"/>
      <c r="P3072" s="19"/>
      <c r="Q3072" s="19"/>
      <c r="R3072" s="20"/>
    </row>
    <row r="3073" spans="1:19" x14ac:dyDescent="0.35">
      <c r="A3073" s="81"/>
      <c r="B3073" s="17"/>
      <c r="C3073" s="17"/>
      <c r="D3073" s="17"/>
      <c r="E3073" s="17"/>
      <c r="F3073" s="17"/>
      <c r="G3073" s="17"/>
      <c r="H3073" s="17"/>
      <c r="I3073" s="17"/>
      <c r="J3073" s="17"/>
      <c r="K3073" s="17"/>
      <c r="L3073" s="17"/>
      <c r="M3073" s="17"/>
      <c r="N3073" s="17"/>
      <c r="O3073" s="17"/>
      <c r="P3073" s="17"/>
      <c r="Q3073" s="17"/>
      <c r="R3073" s="18"/>
      <c r="S3073" s="30"/>
    </row>
    <row r="3074" spans="1:19" x14ac:dyDescent="0.35">
      <c r="A3074" s="81"/>
      <c r="B3074" s="17"/>
      <c r="C3074" s="17"/>
      <c r="D3074" s="17"/>
      <c r="E3074" s="17"/>
      <c r="F3074" s="17"/>
      <c r="G3074" s="17"/>
      <c r="H3074" s="17"/>
      <c r="I3074" s="17"/>
      <c r="J3074" s="17"/>
      <c r="K3074" s="17"/>
      <c r="L3074" s="17"/>
      <c r="M3074" s="17"/>
      <c r="N3074" s="17"/>
      <c r="O3074" s="17"/>
      <c r="P3074" s="17"/>
      <c r="Q3074" s="17"/>
      <c r="R3074" s="18"/>
      <c r="S3074" s="30"/>
    </row>
    <row r="3075" spans="1:19" x14ac:dyDescent="0.35">
      <c r="A3075" s="81"/>
      <c r="B3075" s="17"/>
      <c r="C3075" s="17"/>
      <c r="D3075" s="17"/>
      <c r="E3075" s="17"/>
      <c r="F3075" s="17"/>
      <c r="G3075" s="17"/>
      <c r="H3075" s="17"/>
      <c r="I3075" s="17"/>
      <c r="J3075" s="17"/>
      <c r="K3075" s="17"/>
      <c r="L3075" s="17"/>
      <c r="M3075" s="17"/>
      <c r="N3075" s="17"/>
      <c r="O3075" s="17"/>
      <c r="P3075" s="17"/>
      <c r="Q3075" s="17"/>
      <c r="R3075" s="20"/>
      <c r="S3075" s="30"/>
    </row>
    <row r="3076" spans="1:19" x14ac:dyDescent="0.35">
      <c r="A3076" s="82"/>
      <c r="B3076" s="19"/>
      <c r="C3076" s="19"/>
      <c r="D3076" s="19"/>
      <c r="E3076" s="19"/>
      <c r="F3076" s="19"/>
      <c r="G3076" s="19"/>
      <c r="H3076" s="19"/>
      <c r="I3076" s="19"/>
      <c r="J3076" s="19"/>
      <c r="K3076" s="19"/>
      <c r="L3076" s="19"/>
      <c r="M3076" s="19"/>
      <c r="N3076" s="19"/>
      <c r="O3076" s="19"/>
      <c r="P3076" s="19"/>
      <c r="Q3076" s="19"/>
      <c r="R3076" s="20"/>
    </row>
    <row r="3077" spans="1:19" x14ac:dyDescent="0.35">
      <c r="A3077" s="82"/>
      <c r="B3077" s="19"/>
      <c r="C3077" s="19"/>
      <c r="D3077" s="19"/>
      <c r="E3077" s="19"/>
      <c r="F3077" s="19"/>
      <c r="G3077" s="19"/>
      <c r="H3077" s="19"/>
      <c r="I3077" s="19"/>
      <c r="J3077" s="19"/>
      <c r="K3077" s="19"/>
      <c r="L3077" s="19"/>
      <c r="M3077" s="19"/>
      <c r="N3077" s="19"/>
      <c r="O3077" s="19"/>
      <c r="P3077" s="19"/>
      <c r="Q3077" s="19"/>
      <c r="R3077" s="20"/>
    </row>
    <row r="3078" spans="1:19" x14ac:dyDescent="0.35">
      <c r="A3078" s="82"/>
      <c r="B3078" s="19"/>
      <c r="C3078" s="19"/>
      <c r="D3078" s="19"/>
      <c r="E3078" s="19"/>
      <c r="F3078" s="19"/>
      <c r="G3078" s="19"/>
      <c r="H3078" s="19"/>
      <c r="I3078" s="19"/>
      <c r="J3078" s="19"/>
      <c r="K3078" s="19"/>
      <c r="L3078" s="19"/>
      <c r="M3078" s="19"/>
      <c r="N3078" s="19"/>
      <c r="O3078" s="19"/>
      <c r="P3078" s="19"/>
      <c r="Q3078" s="19"/>
      <c r="R3078" s="20"/>
    </row>
    <row r="3079" spans="1:19" x14ac:dyDescent="0.35">
      <c r="A3079" s="82"/>
      <c r="B3079" s="19"/>
      <c r="C3079" s="19"/>
      <c r="D3079" s="19"/>
      <c r="E3079" s="19"/>
      <c r="F3079" s="19"/>
      <c r="G3079" s="19"/>
      <c r="H3079" s="19"/>
      <c r="I3079" s="19"/>
      <c r="J3079" s="19"/>
      <c r="K3079" s="19"/>
      <c r="L3079" s="19"/>
      <c r="M3079" s="19"/>
      <c r="N3079" s="19"/>
      <c r="O3079" s="19"/>
      <c r="P3079" s="19"/>
      <c r="Q3079" s="19"/>
      <c r="R3079" s="20"/>
    </row>
    <row r="3080" spans="1:19" x14ac:dyDescent="0.35">
      <c r="A3080" s="81"/>
      <c r="B3080" s="17"/>
      <c r="C3080" s="17"/>
      <c r="D3080" s="17"/>
      <c r="E3080" s="17"/>
      <c r="F3080" s="17"/>
      <c r="G3080" s="17"/>
      <c r="H3080" s="17"/>
      <c r="I3080" s="17"/>
      <c r="J3080" s="17"/>
      <c r="K3080" s="17"/>
      <c r="L3080" s="17"/>
      <c r="M3080" s="17"/>
      <c r="N3080" s="17"/>
      <c r="O3080" s="17"/>
      <c r="P3080" s="17"/>
      <c r="Q3080" s="17"/>
      <c r="R3080" s="18"/>
      <c r="S3080" s="30"/>
    </row>
    <row r="3081" spans="1:19" x14ac:dyDescent="0.35">
      <c r="A3081" s="82"/>
      <c r="B3081" s="19"/>
      <c r="C3081" s="19"/>
      <c r="D3081" s="19"/>
      <c r="E3081" s="19"/>
      <c r="F3081" s="19"/>
      <c r="G3081" s="19"/>
      <c r="H3081" s="19"/>
      <c r="I3081" s="19"/>
      <c r="J3081" s="19"/>
      <c r="K3081" s="19"/>
      <c r="L3081" s="19"/>
      <c r="M3081" s="19"/>
      <c r="N3081" s="19"/>
      <c r="O3081" s="19"/>
      <c r="P3081" s="19"/>
      <c r="Q3081" s="19"/>
      <c r="R3081" s="20"/>
    </row>
    <row r="3082" spans="1:19" x14ac:dyDescent="0.35">
      <c r="A3082" s="82"/>
      <c r="B3082" s="19"/>
      <c r="C3082" s="19"/>
      <c r="D3082" s="19"/>
      <c r="E3082" s="19"/>
      <c r="F3082" s="19"/>
      <c r="G3082" s="19"/>
      <c r="H3082" s="19"/>
      <c r="I3082" s="19"/>
      <c r="J3082" s="19"/>
      <c r="K3082" s="19"/>
      <c r="L3082" s="19"/>
      <c r="M3082" s="19"/>
      <c r="N3082" s="19"/>
      <c r="O3082" s="19"/>
      <c r="P3082" s="19"/>
      <c r="Q3082" s="19"/>
      <c r="R3082" s="20"/>
    </row>
    <row r="3083" spans="1:19" x14ac:dyDescent="0.35">
      <c r="A3083" s="82"/>
      <c r="B3083" s="19"/>
      <c r="C3083" s="19"/>
      <c r="D3083" s="19"/>
      <c r="E3083" s="19"/>
      <c r="F3083" s="19"/>
      <c r="G3083" s="19"/>
      <c r="H3083" s="19"/>
      <c r="I3083" s="19"/>
      <c r="J3083" s="19"/>
      <c r="K3083" s="19"/>
      <c r="L3083" s="19"/>
      <c r="M3083" s="19"/>
      <c r="N3083" s="19"/>
      <c r="O3083" s="19"/>
      <c r="P3083" s="19"/>
      <c r="Q3083" s="19"/>
      <c r="R3083" s="20"/>
    </row>
    <row r="3084" spans="1:19" x14ac:dyDescent="0.35">
      <c r="A3084" s="81"/>
      <c r="B3084" s="17"/>
      <c r="C3084" s="17"/>
      <c r="D3084" s="17"/>
      <c r="E3084" s="17"/>
      <c r="F3084" s="17"/>
      <c r="G3084" s="17"/>
      <c r="H3084" s="17"/>
      <c r="I3084" s="17"/>
      <c r="J3084" s="17"/>
      <c r="K3084" s="17"/>
      <c r="L3084" s="19"/>
      <c r="M3084" s="19"/>
      <c r="N3084" s="19"/>
      <c r="O3084" s="17"/>
      <c r="P3084" s="17"/>
      <c r="Q3084" s="17"/>
      <c r="R3084" s="18"/>
      <c r="S3084" s="30"/>
    </row>
    <row r="3085" spans="1:19" x14ac:dyDescent="0.35">
      <c r="A3085" s="82"/>
      <c r="B3085" s="19"/>
      <c r="C3085" s="19"/>
      <c r="D3085" s="19"/>
      <c r="E3085" s="19"/>
      <c r="F3085" s="19"/>
      <c r="G3085" s="19"/>
      <c r="H3085" s="19"/>
      <c r="I3085" s="19"/>
      <c r="J3085" s="19"/>
      <c r="K3085" s="19"/>
      <c r="L3085" s="19"/>
      <c r="M3085" s="19"/>
      <c r="N3085" s="19"/>
      <c r="O3085" s="19"/>
      <c r="P3085" s="19"/>
      <c r="Q3085" s="19"/>
      <c r="R3085" s="20"/>
    </row>
    <row r="3086" spans="1:19" x14ac:dyDescent="0.35">
      <c r="A3086" s="81"/>
      <c r="B3086" s="17"/>
      <c r="C3086" s="17"/>
      <c r="D3086" s="17"/>
      <c r="E3086" s="17"/>
      <c r="F3086" s="17"/>
      <c r="G3086" s="17"/>
      <c r="H3086" s="17"/>
      <c r="I3086" s="17"/>
      <c r="J3086" s="17"/>
      <c r="K3086" s="17"/>
      <c r="L3086" s="17"/>
      <c r="M3086" s="17"/>
      <c r="N3086" s="17"/>
      <c r="O3086" s="17"/>
      <c r="P3086" s="17"/>
      <c r="Q3086" s="17"/>
      <c r="R3086" s="18"/>
    </row>
    <row r="3087" spans="1:19" x14ac:dyDescent="0.35">
      <c r="A3087" s="82"/>
      <c r="B3087" s="19"/>
      <c r="C3087" s="19"/>
      <c r="D3087" s="19"/>
      <c r="E3087" s="19"/>
      <c r="F3087" s="19"/>
      <c r="G3087" s="19"/>
      <c r="H3087" s="19"/>
      <c r="I3087" s="19"/>
      <c r="J3087" s="19"/>
      <c r="K3087" s="19"/>
      <c r="L3087" s="19"/>
      <c r="M3087" s="19"/>
      <c r="N3087" s="19"/>
      <c r="O3087" s="19"/>
      <c r="P3087" s="19"/>
      <c r="Q3087" s="19"/>
      <c r="R3087" s="20"/>
    </row>
    <row r="3088" spans="1:19" x14ac:dyDescent="0.35">
      <c r="A3088" s="82"/>
      <c r="B3088" s="19"/>
      <c r="C3088" s="19"/>
      <c r="D3088" s="19"/>
      <c r="E3088" s="19"/>
      <c r="F3088" s="19"/>
      <c r="G3088" s="19"/>
      <c r="H3088" s="19"/>
      <c r="I3088" s="19"/>
      <c r="J3088" s="19"/>
      <c r="K3088" s="19"/>
      <c r="L3088" s="19"/>
      <c r="M3088" s="19"/>
      <c r="N3088" s="19"/>
      <c r="O3088" s="19"/>
      <c r="P3088" s="19"/>
      <c r="Q3088" s="19"/>
      <c r="R3088" s="20"/>
    </row>
    <row r="3089" spans="1:19" x14ac:dyDescent="0.35">
      <c r="A3089" s="82"/>
      <c r="B3089" s="19"/>
      <c r="C3089" s="19"/>
      <c r="D3089" s="19"/>
      <c r="E3089" s="19"/>
      <c r="F3089" s="19"/>
      <c r="G3089" s="19"/>
      <c r="H3089" s="19"/>
      <c r="I3089" s="19"/>
      <c r="J3089" s="19"/>
      <c r="K3089" s="19"/>
      <c r="L3089" s="19"/>
      <c r="M3089" s="19"/>
      <c r="N3089" s="19"/>
      <c r="O3089" s="19"/>
      <c r="P3089" s="19"/>
      <c r="Q3089" s="19"/>
      <c r="R3089" s="20"/>
    </row>
    <row r="3090" spans="1:19" x14ac:dyDescent="0.35">
      <c r="A3090" s="82"/>
      <c r="B3090" s="19"/>
      <c r="C3090" s="19"/>
      <c r="D3090" s="19"/>
      <c r="E3090" s="19"/>
      <c r="F3090" s="19"/>
      <c r="G3090" s="19"/>
      <c r="H3090" s="19"/>
      <c r="I3090" s="19"/>
      <c r="J3090" s="19"/>
      <c r="K3090" s="19"/>
      <c r="L3090" s="19"/>
      <c r="M3090" s="19"/>
      <c r="N3090" s="19"/>
      <c r="O3090" s="19"/>
      <c r="P3090" s="19"/>
      <c r="Q3090" s="19"/>
      <c r="R3090" s="20"/>
    </row>
    <row r="3091" spans="1:19" x14ac:dyDescent="0.35">
      <c r="A3091" s="82"/>
      <c r="B3091" s="19"/>
      <c r="C3091" s="19"/>
      <c r="D3091" s="19"/>
      <c r="E3091" s="19"/>
      <c r="F3091" s="19"/>
      <c r="G3091" s="19"/>
      <c r="H3091" s="19"/>
      <c r="I3091" s="19"/>
      <c r="J3091" s="19"/>
      <c r="K3091" s="19"/>
      <c r="L3091" s="19"/>
      <c r="M3091" s="19"/>
      <c r="N3091" s="19"/>
      <c r="O3091" s="19"/>
      <c r="P3091" s="19"/>
      <c r="Q3091" s="19"/>
      <c r="R3091" s="20"/>
    </row>
    <row r="3092" spans="1:19" x14ac:dyDescent="0.35">
      <c r="A3092" s="82"/>
      <c r="B3092" s="19"/>
      <c r="C3092" s="19"/>
      <c r="D3092" s="19"/>
      <c r="E3092" s="19"/>
      <c r="F3092" s="19"/>
      <c r="G3092" s="19"/>
      <c r="H3092" s="19"/>
      <c r="I3092" s="19"/>
      <c r="J3092" s="19"/>
      <c r="K3092" s="19"/>
      <c r="L3092" s="19"/>
      <c r="M3092" s="19"/>
      <c r="N3092" s="19"/>
      <c r="O3092" s="19"/>
      <c r="P3092" s="19"/>
      <c r="Q3092" s="19"/>
      <c r="R3092" s="20"/>
    </row>
    <row r="3093" spans="1:19" x14ac:dyDescent="0.35">
      <c r="A3093" s="82"/>
      <c r="B3093" s="19"/>
      <c r="C3093" s="19"/>
      <c r="D3093" s="19"/>
      <c r="E3093" s="19"/>
      <c r="F3093" s="19"/>
      <c r="G3093" s="19"/>
      <c r="H3093" s="19"/>
      <c r="I3093" s="19"/>
      <c r="J3093" s="19"/>
      <c r="K3093" s="19"/>
      <c r="L3093" s="19"/>
      <c r="M3093" s="19"/>
      <c r="N3093" s="19"/>
      <c r="O3093" s="19"/>
      <c r="P3093" s="19"/>
      <c r="Q3093" s="19"/>
      <c r="R3093" s="20"/>
    </row>
    <row r="3094" spans="1:19" x14ac:dyDescent="0.35">
      <c r="A3094" s="81"/>
      <c r="B3094" s="17"/>
      <c r="C3094" s="17"/>
      <c r="D3094" s="17"/>
      <c r="E3094" s="17"/>
      <c r="F3094" s="17"/>
      <c r="G3094" s="17"/>
      <c r="H3094" s="17"/>
      <c r="I3094" s="17"/>
      <c r="J3094" s="17"/>
      <c r="K3094" s="17"/>
      <c r="L3094" s="17"/>
      <c r="M3094" s="17"/>
      <c r="N3094" s="17"/>
      <c r="O3094" s="17"/>
      <c r="P3094" s="17"/>
      <c r="Q3094" s="17"/>
      <c r="R3094" s="18"/>
    </row>
    <row r="3095" spans="1:19" x14ac:dyDescent="0.35">
      <c r="A3095" s="82"/>
      <c r="B3095" s="19"/>
      <c r="C3095" s="19"/>
      <c r="D3095" s="19"/>
      <c r="E3095" s="19"/>
      <c r="F3095" s="19"/>
      <c r="G3095" s="19"/>
      <c r="H3095" s="19"/>
      <c r="I3095" s="19"/>
      <c r="J3095" s="19"/>
      <c r="K3095" s="19"/>
      <c r="L3095" s="19"/>
      <c r="M3095" s="19"/>
      <c r="N3095" s="19"/>
      <c r="O3095" s="19"/>
      <c r="P3095" s="19"/>
      <c r="Q3095" s="19"/>
      <c r="R3095" s="20"/>
      <c r="S3095" s="30"/>
    </row>
    <row r="3096" spans="1:19" x14ac:dyDescent="0.35">
      <c r="A3096" s="81"/>
      <c r="B3096" s="17"/>
      <c r="C3096" s="17"/>
      <c r="D3096" s="17"/>
      <c r="E3096" s="17"/>
      <c r="F3096" s="17"/>
      <c r="G3096" s="17"/>
      <c r="H3096" s="17"/>
      <c r="I3096" s="17"/>
      <c r="J3096" s="17"/>
      <c r="K3096" s="17"/>
      <c r="L3096" s="17"/>
      <c r="M3096" s="17"/>
      <c r="N3096" s="17"/>
      <c r="O3096" s="17"/>
      <c r="P3096" s="17"/>
      <c r="Q3096" s="17"/>
      <c r="R3096" s="18"/>
      <c r="S3096" s="30"/>
    </row>
    <row r="3097" spans="1:19" x14ac:dyDescent="0.35">
      <c r="A3097" s="82"/>
      <c r="B3097" s="19"/>
      <c r="C3097" s="19"/>
      <c r="D3097" s="19"/>
      <c r="E3097" s="19"/>
      <c r="F3097" s="19"/>
      <c r="G3097" s="19"/>
      <c r="H3097" s="19"/>
      <c r="I3097" s="19"/>
      <c r="J3097" s="19"/>
      <c r="K3097" s="19"/>
      <c r="L3097" s="19"/>
      <c r="M3097" s="19"/>
      <c r="N3097" s="19"/>
      <c r="O3097" s="19"/>
      <c r="P3097" s="19"/>
      <c r="Q3097" s="19"/>
      <c r="R3097" s="20"/>
    </row>
    <row r="3098" spans="1:19" x14ac:dyDescent="0.35">
      <c r="A3098" s="81"/>
      <c r="B3098" s="17"/>
      <c r="C3098" s="17"/>
      <c r="D3098" s="17"/>
      <c r="E3098" s="17"/>
      <c r="F3098" s="17"/>
      <c r="G3098" s="17"/>
      <c r="H3098" s="17"/>
      <c r="I3098" s="17"/>
      <c r="J3098" s="17"/>
      <c r="K3098" s="17"/>
      <c r="L3098" s="17"/>
      <c r="M3098" s="17"/>
      <c r="N3098" s="17"/>
      <c r="O3098" s="17"/>
      <c r="P3098" s="17"/>
      <c r="Q3098" s="17"/>
      <c r="R3098" s="18"/>
      <c r="S3098" s="30"/>
    </row>
    <row r="3099" spans="1:19" x14ac:dyDescent="0.35">
      <c r="A3099" s="81"/>
      <c r="B3099" s="17"/>
      <c r="C3099" s="17"/>
      <c r="D3099" s="17"/>
      <c r="E3099" s="17"/>
      <c r="F3099" s="17"/>
      <c r="G3099" s="17"/>
      <c r="H3099" s="17"/>
      <c r="I3099" s="17"/>
      <c r="J3099" s="17"/>
      <c r="K3099" s="17"/>
      <c r="L3099" s="17"/>
      <c r="M3099" s="17"/>
      <c r="N3099" s="17"/>
      <c r="O3099" s="17"/>
      <c r="P3099" s="17"/>
      <c r="Q3099" s="17"/>
      <c r="R3099" s="20"/>
      <c r="S3099" s="30"/>
    </row>
    <row r="3100" spans="1:19" x14ac:dyDescent="0.35">
      <c r="A3100" s="82"/>
      <c r="B3100" s="19"/>
      <c r="C3100" s="19"/>
      <c r="D3100" s="19"/>
      <c r="E3100" s="19"/>
      <c r="F3100" s="19"/>
      <c r="G3100" s="19"/>
      <c r="H3100" s="19"/>
      <c r="I3100" s="19"/>
      <c r="J3100" s="19"/>
      <c r="K3100" s="19"/>
      <c r="L3100" s="19"/>
      <c r="M3100" s="19"/>
      <c r="N3100" s="19"/>
      <c r="O3100" s="19"/>
      <c r="P3100" s="19"/>
      <c r="Q3100" s="19"/>
      <c r="R3100" s="20"/>
      <c r="S3100" s="30"/>
    </row>
    <row r="3101" spans="1:19" x14ac:dyDescent="0.35">
      <c r="A3101" s="82"/>
      <c r="B3101" s="19"/>
      <c r="C3101" s="19"/>
      <c r="D3101" s="19"/>
      <c r="E3101" s="19"/>
      <c r="F3101" s="19"/>
      <c r="G3101" s="19"/>
      <c r="H3101" s="19"/>
      <c r="I3101" s="19"/>
      <c r="J3101" s="19"/>
      <c r="K3101" s="19"/>
      <c r="L3101" s="19"/>
      <c r="M3101" s="19"/>
      <c r="N3101" s="19"/>
      <c r="O3101" s="19"/>
      <c r="P3101" s="19"/>
      <c r="Q3101" s="19"/>
      <c r="R3101" s="20"/>
    </row>
    <row r="3102" spans="1:19" x14ac:dyDescent="0.35">
      <c r="A3102" s="82"/>
      <c r="B3102" s="19"/>
      <c r="C3102" s="19"/>
      <c r="D3102" s="19"/>
      <c r="E3102" s="19"/>
      <c r="F3102" s="19"/>
      <c r="G3102" s="19"/>
      <c r="H3102" s="19"/>
      <c r="I3102" s="19"/>
      <c r="J3102" s="19"/>
      <c r="K3102" s="19"/>
      <c r="L3102" s="19"/>
      <c r="M3102" s="19"/>
      <c r="N3102" s="19"/>
      <c r="O3102" s="19"/>
      <c r="P3102" s="19"/>
      <c r="Q3102" s="19"/>
      <c r="R3102" s="20"/>
    </row>
    <row r="3103" spans="1:19" x14ac:dyDescent="0.35">
      <c r="A3103" s="81"/>
      <c r="B3103" s="17"/>
      <c r="C3103" s="17"/>
      <c r="D3103" s="17"/>
      <c r="E3103" s="17"/>
      <c r="F3103" s="17"/>
      <c r="G3103" s="17"/>
      <c r="H3103" s="17"/>
      <c r="I3103" s="17"/>
      <c r="J3103" s="17"/>
      <c r="K3103" s="17"/>
      <c r="L3103" s="17"/>
      <c r="M3103" s="17"/>
      <c r="N3103" s="17"/>
      <c r="O3103" s="17"/>
      <c r="P3103" s="17"/>
      <c r="Q3103" s="17"/>
      <c r="R3103" s="18"/>
    </row>
    <row r="3104" spans="1:19" x14ac:dyDescent="0.35">
      <c r="A3104" s="81"/>
      <c r="B3104" s="17"/>
      <c r="C3104" s="17"/>
      <c r="D3104" s="17"/>
      <c r="E3104" s="17"/>
      <c r="F3104" s="17"/>
      <c r="G3104" s="17"/>
      <c r="H3104" s="17"/>
      <c r="I3104" s="17"/>
      <c r="J3104" s="17"/>
      <c r="K3104" s="17"/>
      <c r="L3104" s="19"/>
      <c r="M3104" s="19"/>
      <c r="N3104" s="19"/>
      <c r="O3104" s="17"/>
      <c r="P3104" s="17"/>
      <c r="Q3104" s="17"/>
      <c r="R3104" s="18"/>
    </row>
    <row r="3105" spans="1:19" x14ac:dyDescent="0.35">
      <c r="A3105" s="81"/>
      <c r="B3105" s="17"/>
      <c r="C3105" s="17"/>
      <c r="D3105" s="17"/>
      <c r="E3105" s="17"/>
      <c r="F3105" s="17"/>
      <c r="G3105" s="17"/>
      <c r="H3105" s="17"/>
      <c r="I3105" s="17"/>
      <c r="J3105" s="17"/>
      <c r="K3105" s="17"/>
      <c r="L3105" s="17"/>
      <c r="M3105" s="17"/>
      <c r="N3105" s="17"/>
      <c r="O3105" s="17"/>
      <c r="P3105" s="17"/>
      <c r="Q3105" s="17"/>
      <c r="R3105" s="18"/>
      <c r="S3105" s="30"/>
    </row>
    <row r="3106" spans="1:19" x14ac:dyDescent="0.35">
      <c r="A3106" s="81"/>
      <c r="B3106" s="17"/>
      <c r="C3106" s="17"/>
      <c r="D3106" s="17"/>
      <c r="E3106" s="17"/>
      <c r="F3106" s="17"/>
      <c r="G3106" s="17"/>
      <c r="H3106" s="17"/>
      <c r="I3106" s="17"/>
      <c r="J3106" s="17"/>
      <c r="K3106" s="17"/>
      <c r="L3106" s="17"/>
      <c r="M3106" s="17"/>
      <c r="N3106" s="17"/>
      <c r="O3106" s="17"/>
      <c r="P3106" s="17"/>
      <c r="Q3106" s="17"/>
      <c r="R3106" s="18"/>
    </row>
    <row r="3107" spans="1:19" x14ac:dyDescent="0.35">
      <c r="A3107" s="81"/>
      <c r="B3107" s="17"/>
      <c r="C3107" s="17"/>
      <c r="D3107" s="17"/>
      <c r="E3107" s="17"/>
      <c r="F3107" s="17"/>
      <c r="G3107" s="17"/>
      <c r="H3107" s="17"/>
      <c r="I3107" s="17"/>
      <c r="J3107" s="17"/>
      <c r="K3107" s="17"/>
      <c r="L3107" s="17"/>
      <c r="M3107" s="17"/>
      <c r="N3107" s="17"/>
      <c r="O3107" s="17"/>
      <c r="P3107" s="17"/>
      <c r="Q3107" s="17"/>
      <c r="R3107" s="18"/>
    </row>
    <row r="3108" spans="1:19" x14ac:dyDescent="0.35">
      <c r="A3108" s="82"/>
      <c r="B3108" s="19"/>
      <c r="C3108" s="19"/>
      <c r="D3108" s="19"/>
      <c r="E3108" s="19"/>
      <c r="F3108" s="19"/>
      <c r="G3108" s="19"/>
      <c r="H3108" s="19"/>
      <c r="I3108" s="19"/>
      <c r="J3108" s="19"/>
      <c r="K3108" s="19"/>
      <c r="L3108" s="19"/>
      <c r="M3108" s="19"/>
      <c r="N3108" s="19"/>
      <c r="O3108" s="19"/>
      <c r="P3108" s="19"/>
      <c r="Q3108" s="19"/>
      <c r="R3108" s="20"/>
    </row>
    <row r="3109" spans="1:19" x14ac:dyDescent="0.35">
      <c r="A3109" s="82"/>
      <c r="B3109" s="19"/>
      <c r="C3109" s="19"/>
      <c r="D3109" s="19"/>
      <c r="E3109" s="19"/>
      <c r="F3109" s="19"/>
      <c r="G3109" s="19"/>
      <c r="H3109" s="19"/>
      <c r="I3109" s="19"/>
      <c r="J3109" s="19"/>
      <c r="K3109" s="19"/>
      <c r="L3109" s="19"/>
      <c r="M3109" s="19"/>
      <c r="N3109" s="19"/>
      <c r="O3109" s="19"/>
      <c r="P3109" s="19"/>
      <c r="Q3109" s="19"/>
      <c r="R3109" s="20"/>
    </row>
    <row r="3110" spans="1:19" x14ac:dyDescent="0.35">
      <c r="A3110" s="82"/>
      <c r="B3110" s="19"/>
      <c r="C3110" s="19"/>
      <c r="D3110" s="19"/>
      <c r="E3110" s="19"/>
      <c r="F3110" s="19"/>
      <c r="G3110" s="19"/>
      <c r="H3110" s="19"/>
      <c r="I3110" s="19"/>
      <c r="J3110" s="19"/>
      <c r="K3110" s="19"/>
      <c r="L3110" s="19"/>
      <c r="M3110" s="19"/>
      <c r="N3110" s="19"/>
      <c r="O3110" s="19"/>
      <c r="P3110" s="19"/>
      <c r="Q3110" s="19"/>
      <c r="R3110" s="20"/>
      <c r="S3110" s="30"/>
    </row>
    <row r="3111" spans="1:19" x14ac:dyDescent="0.35">
      <c r="A3111" s="82"/>
      <c r="B3111" s="19"/>
      <c r="C3111" s="19"/>
      <c r="D3111" s="19"/>
      <c r="E3111" s="19"/>
      <c r="F3111" s="19"/>
      <c r="G3111" s="19"/>
      <c r="H3111" s="19"/>
      <c r="I3111" s="19"/>
      <c r="J3111" s="19"/>
      <c r="K3111" s="19"/>
      <c r="L3111" s="19"/>
      <c r="M3111" s="19"/>
      <c r="N3111" s="19"/>
      <c r="O3111" s="19"/>
      <c r="P3111" s="19"/>
      <c r="Q3111" s="19"/>
      <c r="R3111" s="20"/>
    </row>
    <row r="3112" spans="1:19" x14ac:dyDescent="0.35">
      <c r="A3112" s="81"/>
      <c r="B3112" s="17"/>
      <c r="C3112" s="17"/>
      <c r="D3112" s="17"/>
      <c r="E3112" s="17"/>
      <c r="F3112" s="17"/>
      <c r="G3112" s="17"/>
      <c r="H3112" s="17"/>
      <c r="I3112" s="17"/>
      <c r="J3112" s="17"/>
      <c r="K3112" s="17"/>
      <c r="L3112" s="19"/>
      <c r="M3112" s="19"/>
      <c r="N3112" s="19"/>
      <c r="O3112" s="17"/>
      <c r="P3112" s="17"/>
      <c r="Q3112" s="17"/>
      <c r="R3112" s="18"/>
    </row>
    <row r="3113" spans="1:19" x14ac:dyDescent="0.35">
      <c r="A3113" s="82"/>
      <c r="B3113" s="19"/>
      <c r="C3113" s="19"/>
      <c r="D3113" s="19"/>
      <c r="E3113" s="19"/>
      <c r="F3113" s="19"/>
      <c r="G3113" s="19"/>
      <c r="H3113" s="19"/>
      <c r="I3113" s="19"/>
      <c r="J3113" s="19"/>
      <c r="K3113" s="19"/>
      <c r="L3113" s="19"/>
      <c r="M3113" s="19"/>
      <c r="N3113" s="19"/>
      <c r="O3113" s="19"/>
      <c r="P3113" s="19"/>
      <c r="Q3113" s="19"/>
      <c r="R3113" s="20"/>
    </row>
    <row r="3114" spans="1:19" x14ac:dyDescent="0.35">
      <c r="A3114" s="81"/>
      <c r="B3114" s="17"/>
      <c r="C3114" s="17"/>
      <c r="D3114" s="17"/>
      <c r="E3114" s="17"/>
      <c r="F3114" s="17"/>
      <c r="G3114" s="17"/>
      <c r="H3114" s="17"/>
      <c r="I3114" s="17"/>
      <c r="J3114" s="17"/>
      <c r="K3114" s="17"/>
      <c r="L3114" s="17"/>
      <c r="M3114" s="17"/>
      <c r="N3114" s="17"/>
      <c r="O3114" s="17"/>
      <c r="P3114" s="17"/>
      <c r="Q3114" s="17"/>
      <c r="R3114" s="18"/>
    </row>
    <row r="3115" spans="1:19" x14ac:dyDescent="0.35">
      <c r="A3115" s="81"/>
      <c r="B3115" s="17"/>
      <c r="C3115" s="17"/>
      <c r="D3115" s="17"/>
      <c r="E3115" s="17"/>
      <c r="F3115" s="17"/>
      <c r="G3115" s="17"/>
      <c r="H3115" s="17"/>
      <c r="I3115" s="17"/>
      <c r="J3115" s="17"/>
      <c r="K3115" s="17"/>
      <c r="L3115" s="17"/>
      <c r="M3115" s="17"/>
      <c r="N3115" s="17"/>
      <c r="O3115" s="17"/>
      <c r="P3115" s="17"/>
      <c r="Q3115" s="17"/>
      <c r="R3115" s="20"/>
      <c r="S3115" s="30"/>
    </row>
    <row r="3116" spans="1:19" x14ac:dyDescent="0.35">
      <c r="A3116" s="82"/>
      <c r="B3116" s="19"/>
      <c r="C3116" s="19"/>
      <c r="D3116" s="19"/>
      <c r="E3116" s="19"/>
      <c r="F3116" s="19"/>
      <c r="G3116" s="19"/>
      <c r="H3116" s="19"/>
      <c r="I3116" s="19"/>
      <c r="J3116" s="19"/>
      <c r="K3116" s="19"/>
      <c r="L3116" s="19"/>
      <c r="M3116" s="19"/>
      <c r="N3116" s="19"/>
      <c r="O3116" s="19"/>
      <c r="P3116" s="19"/>
      <c r="Q3116" s="19"/>
      <c r="R3116" s="20"/>
    </row>
    <row r="3117" spans="1:19" x14ac:dyDescent="0.35">
      <c r="A3117" s="81"/>
      <c r="B3117" s="17"/>
      <c r="C3117" s="17"/>
      <c r="D3117" s="17"/>
      <c r="E3117" s="17"/>
      <c r="F3117" s="17"/>
      <c r="G3117" s="17"/>
      <c r="H3117" s="17"/>
      <c r="I3117" s="17"/>
      <c r="J3117" s="17"/>
      <c r="K3117" s="17"/>
      <c r="L3117" s="17"/>
      <c r="M3117" s="17"/>
      <c r="N3117" s="17"/>
      <c r="O3117" s="17"/>
      <c r="P3117" s="17"/>
      <c r="Q3117" s="17"/>
      <c r="R3117" s="18"/>
      <c r="S3117" s="30"/>
    </row>
    <row r="3118" spans="1:19" x14ac:dyDescent="0.35">
      <c r="A3118" s="81"/>
      <c r="B3118" s="17"/>
      <c r="C3118" s="17"/>
      <c r="D3118" s="17"/>
      <c r="E3118" s="17"/>
      <c r="F3118" s="17"/>
      <c r="G3118" s="17"/>
      <c r="H3118" s="17"/>
      <c r="I3118" s="17"/>
      <c r="J3118" s="17"/>
      <c r="K3118" s="17"/>
      <c r="L3118" s="19"/>
      <c r="M3118" s="19"/>
      <c r="N3118" s="19"/>
      <c r="O3118" s="17"/>
      <c r="P3118" s="17"/>
      <c r="Q3118" s="17"/>
      <c r="R3118" s="18"/>
      <c r="S3118" s="30"/>
    </row>
    <row r="3119" spans="1:19" x14ac:dyDescent="0.35">
      <c r="A3119" s="81"/>
      <c r="B3119" s="17"/>
      <c r="C3119" s="17"/>
      <c r="D3119" s="17"/>
      <c r="E3119" s="17"/>
      <c r="F3119" s="17"/>
      <c r="G3119" s="17"/>
      <c r="H3119" s="17"/>
      <c r="I3119" s="17"/>
      <c r="J3119" s="17"/>
      <c r="K3119" s="17"/>
      <c r="L3119" s="17"/>
      <c r="M3119" s="17"/>
      <c r="N3119" s="17"/>
      <c r="O3119" s="17"/>
      <c r="P3119" s="17"/>
      <c r="Q3119" s="17"/>
      <c r="R3119" s="18"/>
    </row>
    <row r="3120" spans="1:19" x14ac:dyDescent="0.35">
      <c r="A3120" s="82"/>
      <c r="B3120" s="19"/>
      <c r="C3120" s="19"/>
      <c r="D3120" s="19"/>
      <c r="E3120" s="19"/>
      <c r="F3120" s="19"/>
      <c r="G3120" s="19"/>
      <c r="H3120" s="19"/>
      <c r="I3120" s="19"/>
      <c r="J3120" s="19"/>
      <c r="K3120" s="19"/>
      <c r="L3120" s="19"/>
      <c r="M3120" s="19"/>
      <c r="N3120" s="19"/>
      <c r="O3120" s="19"/>
      <c r="P3120" s="19"/>
      <c r="Q3120" s="19"/>
      <c r="R3120" s="20"/>
    </row>
    <row r="3121" spans="1:19" x14ac:dyDescent="0.35">
      <c r="A3121" s="82"/>
      <c r="B3121" s="19"/>
      <c r="C3121" s="19"/>
      <c r="D3121" s="19"/>
      <c r="E3121" s="19"/>
      <c r="F3121" s="19"/>
      <c r="G3121" s="19"/>
      <c r="H3121" s="19"/>
      <c r="I3121" s="19"/>
      <c r="J3121" s="19"/>
      <c r="K3121" s="19"/>
      <c r="L3121" s="19"/>
      <c r="M3121" s="19"/>
      <c r="N3121" s="19"/>
      <c r="O3121" s="19"/>
      <c r="P3121" s="19"/>
      <c r="Q3121" s="19"/>
      <c r="R3121" s="20"/>
    </row>
    <row r="3122" spans="1:19" x14ac:dyDescent="0.35">
      <c r="A3122" s="81"/>
      <c r="B3122" s="17"/>
      <c r="C3122" s="17"/>
      <c r="D3122" s="17"/>
      <c r="E3122" s="17"/>
      <c r="F3122" s="17"/>
      <c r="G3122" s="17"/>
      <c r="H3122" s="17"/>
      <c r="I3122" s="17"/>
      <c r="J3122" s="17"/>
      <c r="K3122" s="17"/>
      <c r="L3122" s="17"/>
      <c r="M3122" s="17"/>
      <c r="N3122" s="17"/>
      <c r="O3122" s="17"/>
      <c r="P3122" s="17"/>
      <c r="Q3122" s="17"/>
      <c r="R3122" s="18"/>
      <c r="S3122" s="30"/>
    </row>
    <row r="3123" spans="1:19" x14ac:dyDescent="0.35">
      <c r="A3123" s="82"/>
      <c r="B3123" s="19"/>
      <c r="C3123" s="19"/>
      <c r="D3123" s="19"/>
      <c r="E3123" s="19"/>
      <c r="F3123" s="19"/>
      <c r="G3123" s="19"/>
      <c r="H3123" s="19"/>
      <c r="I3123" s="19"/>
      <c r="J3123" s="19"/>
      <c r="K3123" s="19"/>
      <c r="L3123" s="19"/>
      <c r="M3123" s="19"/>
      <c r="N3123" s="19"/>
      <c r="O3123" s="19"/>
      <c r="P3123" s="19"/>
      <c r="Q3123" s="19"/>
      <c r="R3123" s="20"/>
    </row>
    <row r="3124" spans="1:19" x14ac:dyDescent="0.35">
      <c r="A3124" s="81"/>
      <c r="B3124" s="17"/>
      <c r="C3124" s="17"/>
      <c r="D3124" s="17"/>
      <c r="E3124" s="17"/>
      <c r="F3124" s="17"/>
      <c r="G3124" s="17"/>
      <c r="H3124" s="17"/>
      <c r="I3124" s="17"/>
      <c r="J3124" s="17"/>
      <c r="K3124" s="17"/>
      <c r="L3124" s="17"/>
      <c r="M3124" s="17"/>
      <c r="N3124" s="17"/>
      <c r="O3124" s="17"/>
      <c r="P3124" s="17"/>
      <c r="Q3124" s="17"/>
      <c r="R3124" s="18"/>
    </row>
    <row r="3125" spans="1:19" x14ac:dyDescent="0.35">
      <c r="A3125" s="81"/>
      <c r="B3125" s="17"/>
      <c r="C3125" s="17"/>
      <c r="D3125" s="17"/>
      <c r="E3125" s="17"/>
      <c r="F3125" s="17"/>
      <c r="G3125" s="17"/>
      <c r="H3125" s="17"/>
      <c r="I3125" s="17"/>
      <c r="J3125" s="17"/>
      <c r="K3125" s="17"/>
      <c r="L3125" s="17"/>
      <c r="M3125" s="17"/>
      <c r="N3125" s="17"/>
      <c r="O3125" s="17"/>
      <c r="P3125" s="17"/>
      <c r="Q3125" s="17"/>
      <c r="R3125" s="20"/>
      <c r="S3125" s="30"/>
    </row>
    <row r="3126" spans="1:19" x14ac:dyDescent="0.35">
      <c r="A3126" s="82"/>
      <c r="B3126" s="19"/>
      <c r="C3126" s="19"/>
      <c r="D3126" s="19"/>
      <c r="E3126" s="19"/>
      <c r="F3126" s="19"/>
      <c r="G3126" s="19"/>
      <c r="H3126" s="19"/>
      <c r="I3126" s="19"/>
      <c r="J3126" s="19"/>
      <c r="K3126" s="19"/>
      <c r="L3126" s="19"/>
      <c r="M3126" s="19"/>
      <c r="N3126" s="19"/>
      <c r="O3126" s="19"/>
      <c r="P3126" s="19"/>
      <c r="Q3126" s="19"/>
      <c r="R3126" s="20"/>
    </row>
    <row r="3127" spans="1:19" x14ac:dyDescent="0.35">
      <c r="A3127" s="82"/>
      <c r="B3127" s="19"/>
      <c r="C3127" s="19"/>
      <c r="D3127" s="19"/>
      <c r="E3127" s="19"/>
      <c r="F3127" s="19"/>
      <c r="G3127" s="19"/>
      <c r="H3127" s="19"/>
      <c r="I3127" s="19"/>
      <c r="J3127" s="19"/>
      <c r="K3127" s="19"/>
      <c r="L3127" s="19"/>
      <c r="M3127" s="19"/>
      <c r="N3127" s="19"/>
      <c r="O3127" s="19"/>
      <c r="P3127" s="19"/>
      <c r="Q3127" s="19"/>
      <c r="R3127" s="20"/>
    </row>
    <row r="3128" spans="1:19" x14ac:dyDescent="0.35">
      <c r="A3128" s="82"/>
      <c r="B3128" s="19"/>
      <c r="C3128" s="19"/>
      <c r="D3128" s="19"/>
      <c r="E3128" s="19"/>
      <c r="F3128" s="19"/>
      <c r="G3128" s="19"/>
      <c r="H3128" s="19"/>
      <c r="I3128" s="19"/>
      <c r="J3128" s="19"/>
      <c r="K3128" s="19"/>
      <c r="L3128" s="19"/>
      <c r="M3128" s="19"/>
      <c r="N3128" s="19"/>
      <c r="O3128" s="19"/>
      <c r="P3128" s="19"/>
      <c r="Q3128" s="19"/>
      <c r="R3128" s="20"/>
    </row>
    <row r="3129" spans="1:19" x14ac:dyDescent="0.35">
      <c r="A3129" s="81"/>
      <c r="B3129" s="17"/>
      <c r="C3129" s="17"/>
      <c r="D3129" s="17"/>
      <c r="E3129" s="17"/>
      <c r="F3129" s="17"/>
      <c r="G3129" s="17"/>
      <c r="H3129" s="17"/>
      <c r="I3129" s="17"/>
      <c r="J3129" s="17"/>
      <c r="K3129" s="17"/>
      <c r="L3129" s="17"/>
      <c r="M3129" s="17"/>
      <c r="N3129" s="17"/>
      <c r="O3129" s="17"/>
      <c r="P3129" s="17"/>
      <c r="Q3129" s="17"/>
      <c r="R3129" s="18"/>
    </row>
    <row r="3130" spans="1:19" x14ac:dyDescent="0.35">
      <c r="A3130" s="81"/>
      <c r="B3130" s="17"/>
      <c r="C3130" s="17"/>
      <c r="D3130" s="17"/>
      <c r="E3130" s="17"/>
      <c r="F3130" s="17"/>
      <c r="G3130" s="17"/>
      <c r="H3130" s="17"/>
      <c r="I3130" s="17"/>
      <c r="J3130" s="17"/>
      <c r="K3130" s="17"/>
      <c r="L3130" s="17"/>
      <c r="M3130" s="17"/>
      <c r="N3130" s="17"/>
      <c r="O3130" s="17"/>
      <c r="P3130" s="17"/>
      <c r="Q3130" s="17"/>
      <c r="R3130" s="18"/>
    </row>
    <row r="3131" spans="1:19" x14ac:dyDescent="0.35">
      <c r="A3131" s="82"/>
      <c r="B3131" s="19"/>
      <c r="C3131" s="19"/>
      <c r="D3131" s="19"/>
      <c r="E3131" s="19"/>
      <c r="F3131" s="19"/>
      <c r="G3131" s="19"/>
      <c r="H3131" s="19"/>
      <c r="I3131" s="19"/>
      <c r="J3131" s="19"/>
      <c r="K3131" s="19"/>
      <c r="L3131" s="19"/>
      <c r="M3131" s="19"/>
      <c r="N3131" s="19"/>
      <c r="O3131" s="19"/>
      <c r="P3131" s="19"/>
      <c r="Q3131" s="19"/>
      <c r="R3131" s="20"/>
    </row>
    <row r="3132" spans="1:19" x14ac:dyDescent="0.35">
      <c r="A3132" s="82"/>
      <c r="B3132" s="19"/>
      <c r="C3132" s="19"/>
      <c r="D3132" s="19"/>
      <c r="E3132" s="19"/>
      <c r="F3132" s="19"/>
      <c r="G3132" s="19"/>
      <c r="H3132" s="19"/>
      <c r="I3132" s="19"/>
      <c r="J3132" s="19"/>
      <c r="K3132" s="19"/>
      <c r="L3132" s="19"/>
      <c r="M3132" s="19"/>
      <c r="N3132" s="19"/>
      <c r="O3132" s="19"/>
      <c r="P3132" s="19"/>
      <c r="Q3132" s="19"/>
      <c r="R3132" s="20"/>
    </row>
    <row r="3133" spans="1:19" x14ac:dyDescent="0.35">
      <c r="A3133" s="82"/>
      <c r="B3133" s="19"/>
      <c r="C3133" s="19"/>
      <c r="D3133" s="19"/>
      <c r="E3133" s="19"/>
      <c r="F3133" s="19"/>
      <c r="G3133" s="19"/>
      <c r="H3133" s="19"/>
      <c r="I3133" s="19"/>
      <c r="J3133" s="19"/>
      <c r="K3133" s="19"/>
      <c r="L3133" s="19"/>
      <c r="M3133" s="19"/>
      <c r="N3133" s="19"/>
      <c r="O3133" s="19"/>
      <c r="P3133" s="19"/>
      <c r="Q3133" s="19"/>
      <c r="R3133" s="20"/>
    </row>
    <row r="3134" spans="1:19" x14ac:dyDescent="0.35">
      <c r="A3134" s="82"/>
      <c r="B3134" s="19"/>
      <c r="C3134" s="19"/>
      <c r="D3134" s="19"/>
      <c r="E3134" s="19"/>
      <c r="F3134" s="19"/>
      <c r="G3134" s="19"/>
      <c r="H3134" s="19"/>
      <c r="I3134" s="19"/>
      <c r="J3134" s="19"/>
      <c r="K3134" s="19"/>
      <c r="L3134" s="19"/>
      <c r="M3134" s="19"/>
      <c r="N3134" s="19"/>
      <c r="O3134" s="19"/>
      <c r="P3134" s="19"/>
      <c r="Q3134" s="19"/>
      <c r="R3134" s="20"/>
    </row>
    <row r="3135" spans="1:19" x14ac:dyDescent="0.35">
      <c r="A3135" s="82"/>
      <c r="B3135" s="19"/>
      <c r="C3135" s="19"/>
      <c r="D3135" s="19"/>
      <c r="E3135" s="19"/>
      <c r="F3135" s="19"/>
      <c r="G3135" s="19"/>
      <c r="H3135" s="19"/>
      <c r="I3135" s="19"/>
      <c r="J3135" s="19"/>
      <c r="K3135" s="19"/>
      <c r="L3135" s="19"/>
      <c r="M3135" s="19"/>
      <c r="N3135" s="19"/>
      <c r="O3135" s="19"/>
      <c r="P3135" s="19"/>
      <c r="Q3135" s="19"/>
      <c r="R3135" s="20"/>
    </row>
    <row r="3136" spans="1:19" x14ac:dyDescent="0.35">
      <c r="A3136" s="82"/>
      <c r="B3136" s="19"/>
      <c r="C3136" s="19"/>
      <c r="D3136" s="19"/>
      <c r="E3136" s="19"/>
      <c r="F3136" s="19"/>
      <c r="G3136" s="19"/>
      <c r="H3136" s="19"/>
      <c r="I3136" s="19"/>
      <c r="J3136" s="19"/>
      <c r="K3136" s="19"/>
      <c r="L3136" s="19"/>
      <c r="M3136" s="19"/>
      <c r="N3136" s="19"/>
      <c r="O3136" s="19"/>
      <c r="P3136" s="19"/>
      <c r="Q3136" s="19"/>
      <c r="R3136" s="20"/>
    </row>
    <row r="3137" spans="1:19" x14ac:dyDescent="0.35">
      <c r="A3137" s="82"/>
      <c r="B3137" s="19"/>
      <c r="C3137" s="19"/>
      <c r="D3137" s="19"/>
      <c r="E3137" s="19"/>
      <c r="F3137" s="19"/>
      <c r="G3137" s="19"/>
      <c r="H3137" s="19"/>
      <c r="I3137" s="19"/>
      <c r="J3137" s="19"/>
      <c r="K3137" s="19"/>
      <c r="L3137" s="19"/>
      <c r="M3137" s="19"/>
      <c r="N3137" s="19"/>
      <c r="O3137" s="19"/>
      <c r="P3137" s="19"/>
      <c r="Q3137" s="19"/>
      <c r="R3137" s="20"/>
    </row>
    <row r="3138" spans="1:19" x14ac:dyDescent="0.35">
      <c r="A3138" s="81"/>
      <c r="B3138" s="17"/>
      <c r="C3138" s="17"/>
      <c r="D3138" s="17"/>
      <c r="E3138" s="17"/>
      <c r="F3138" s="17"/>
      <c r="G3138" s="17"/>
      <c r="H3138" s="17"/>
      <c r="I3138" s="17"/>
      <c r="J3138" s="17"/>
      <c r="K3138" s="17"/>
      <c r="L3138" s="17"/>
      <c r="M3138" s="17"/>
      <c r="N3138" s="17"/>
      <c r="O3138" s="17"/>
      <c r="P3138" s="17"/>
      <c r="Q3138" s="17"/>
      <c r="R3138" s="18"/>
    </row>
    <row r="3139" spans="1:19" x14ac:dyDescent="0.35">
      <c r="A3139" s="81"/>
      <c r="B3139" s="17"/>
      <c r="C3139" s="17"/>
      <c r="D3139" s="17"/>
      <c r="E3139" s="17"/>
      <c r="F3139" s="17"/>
      <c r="G3139" s="17"/>
      <c r="H3139" s="17"/>
      <c r="I3139" s="17"/>
      <c r="J3139" s="17"/>
      <c r="K3139" s="17"/>
      <c r="L3139" s="17"/>
      <c r="M3139" s="17"/>
      <c r="N3139" s="17"/>
      <c r="O3139" s="17"/>
      <c r="P3139" s="17"/>
      <c r="Q3139" s="17"/>
      <c r="R3139" s="18"/>
    </row>
    <row r="3140" spans="1:19" x14ac:dyDescent="0.35">
      <c r="A3140" s="82"/>
      <c r="B3140" s="19"/>
      <c r="C3140" s="19"/>
      <c r="D3140" s="19"/>
      <c r="E3140" s="19"/>
      <c r="F3140" s="19"/>
      <c r="G3140" s="19"/>
      <c r="H3140" s="19"/>
      <c r="I3140" s="19"/>
      <c r="J3140" s="19"/>
      <c r="K3140" s="19"/>
      <c r="L3140" s="19"/>
      <c r="M3140" s="19"/>
      <c r="N3140" s="19"/>
      <c r="O3140" s="19"/>
      <c r="P3140" s="19"/>
      <c r="Q3140" s="19"/>
      <c r="R3140" s="20"/>
      <c r="S3140" s="30"/>
    </row>
    <row r="3141" spans="1:19" x14ac:dyDescent="0.35">
      <c r="A3141" s="82"/>
      <c r="B3141" s="19"/>
      <c r="C3141" s="19"/>
      <c r="D3141" s="19"/>
      <c r="E3141" s="19"/>
      <c r="F3141" s="19"/>
      <c r="G3141" s="19"/>
      <c r="H3141" s="19"/>
      <c r="I3141" s="19"/>
      <c r="J3141" s="19"/>
      <c r="K3141" s="19"/>
      <c r="L3141" s="19"/>
      <c r="M3141" s="19"/>
      <c r="N3141" s="19"/>
      <c r="O3141" s="19"/>
      <c r="P3141" s="19"/>
      <c r="Q3141" s="19"/>
      <c r="R3141" s="20"/>
    </row>
    <row r="3142" spans="1:19" x14ac:dyDescent="0.35">
      <c r="A3142" s="81"/>
      <c r="B3142" s="17"/>
      <c r="C3142" s="17"/>
      <c r="D3142" s="17"/>
      <c r="E3142" s="17"/>
      <c r="F3142" s="17"/>
      <c r="G3142" s="17"/>
      <c r="H3142" s="17"/>
      <c r="I3142" s="17"/>
      <c r="J3142" s="17"/>
      <c r="K3142" s="17"/>
      <c r="L3142" s="17"/>
      <c r="M3142" s="17"/>
      <c r="N3142" s="17"/>
      <c r="O3142" s="17"/>
      <c r="P3142" s="17"/>
      <c r="Q3142" s="17"/>
      <c r="R3142" s="18"/>
      <c r="S3142" s="30"/>
    </row>
    <row r="3143" spans="1:19" x14ac:dyDescent="0.35">
      <c r="A3143" s="81"/>
      <c r="B3143" s="17"/>
      <c r="C3143" s="17"/>
      <c r="D3143" s="17"/>
      <c r="E3143" s="17"/>
      <c r="F3143" s="17"/>
      <c r="G3143" s="17"/>
      <c r="H3143" s="17"/>
      <c r="I3143" s="17"/>
      <c r="J3143" s="17"/>
      <c r="K3143" s="17"/>
      <c r="L3143" s="17"/>
      <c r="M3143" s="17"/>
      <c r="N3143" s="17"/>
      <c r="O3143" s="17"/>
      <c r="P3143" s="17"/>
      <c r="Q3143" s="17"/>
      <c r="R3143" s="18"/>
    </row>
    <row r="3144" spans="1:19" x14ac:dyDescent="0.35">
      <c r="A3144" s="81"/>
      <c r="B3144" s="17"/>
      <c r="C3144" s="17"/>
      <c r="D3144" s="17"/>
      <c r="E3144" s="17"/>
      <c r="F3144" s="17"/>
      <c r="G3144" s="17"/>
      <c r="H3144" s="17"/>
      <c r="I3144" s="17"/>
      <c r="J3144" s="17"/>
      <c r="K3144" s="17"/>
      <c r="L3144" s="17"/>
      <c r="M3144" s="17"/>
      <c r="N3144" s="17"/>
      <c r="O3144" s="17"/>
      <c r="P3144" s="17"/>
      <c r="Q3144" s="17"/>
      <c r="R3144" s="18"/>
    </row>
    <row r="3145" spans="1:19" x14ac:dyDescent="0.35">
      <c r="A3145" s="82"/>
      <c r="B3145" s="19"/>
      <c r="C3145" s="19"/>
      <c r="D3145" s="19"/>
      <c r="E3145" s="19"/>
      <c r="F3145" s="19"/>
      <c r="G3145" s="19"/>
      <c r="H3145" s="19"/>
      <c r="I3145" s="19"/>
      <c r="J3145" s="19"/>
      <c r="K3145" s="19"/>
      <c r="L3145" s="19"/>
      <c r="M3145" s="19"/>
      <c r="N3145" s="19"/>
      <c r="O3145" s="19"/>
      <c r="P3145" s="19"/>
      <c r="Q3145" s="19"/>
      <c r="R3145" s="20"/>
    </row>
    <row r="3146" spans="1:19" x14ac:dyDescent="0.35">
      <c r="A3146" s="82"/>
      <c r="B3146" s="19"/>
      <c r="C3146" s="19"/>
      <c r="D3146" s="19"/>
      <c r="E3146" s="19"/>
      <c r="F3146" s="19"/>
      <c r="G3146" s="19"/>
      <c r="H3146" s="19"/>
      <c r="I3146" s="19"/>
      <c r="J3146" s="19"/>
      <c r="K3146" s="19"/>
      <c r="L3146" s="19"/>
      <c r="M3146" s="19"/>
      <c r="N3146" s="19"/>
      <c r="O3146" s="19"/>
      <c r="P3146" s="19"/>
      <c r="Q3146" s="19"/>
      <c r="R3146" s="20"/>
    </row>
    <row r="3147" spans="1:19" x14ac:dyDescent="0.35">
      <c r="A3147" s="82"/>
      <c r="B3147" s="19"/>
      <c r="C3147" s="19"/>
      <c r="D3147" s="19"/>
      <c r="E3147" s="19"/>
      <c r="F3147" s="19"/>
      <c r="G3147" s="19"/>
      <c r="H3147" s="19"/>
      <c r="I3147" s="19"/>
      <c r="J3147" s="19"/>
      <c r="K3147" s="19"/>
      <c r="L3147" s="19"/>
      <c r="M3147" s="19"/>
      <c r="N3147" s="19"/>
      <c r="O3147" s="19"/>
      <c r="P3147" s="19"/>
      <c r="Q3147" s="19"/>
      <c r="R3147" s="20"/>
    </row>
    <row r="3148" spans="1:19" x14ac:dyDescent="0.35">
      <c r="A3148" s="82"/>
      <c r="B3148" s="19"/>
      <c r="C3148" s="19"/>
      <c r="D3148" s="19"/>
      <c r="E3148" s="19"/>
      <c r="F3148" s="19"/>
      <c r="G3148" s="19"/>
      <c r="H3148" s="19"/>
      <c r="I3148" s="19"/>
      <c r="J3148" s="19"/>
      <c r="K3148" s="19"/>
      <c r="L3148" s="19"/>
      <c r="M3148" s="19"/>
      <c r="N3148" s="19"/>
      <c r="O3148" s="19"/>
      <c r="P3148" s="19"/>
      <c r="Q3148" s="19"/>
      <c r="R3148" s="20"/>
      <c r="S3148" s="30"/>
    </row>
    <row r="3149" spans="1:19" x14ac:dyDescent="0.35">
      <c r="A3149" s="82"/>
      <c r="B3149" s="19"/>
      <c r="C3149" s="19"/>
      <c r="D3149" s="19"/>
      <c r="E3149" s="19"/>
      <c r="F3149" s="19"/>
      <c r="G3149" s="19"/>
      <c r="H3149" s="19"/>
      <c r="I3149" s="19"/>
      <c r="J3149" s="19"/>
      <c r="K3149" s="19"/>
      <c r="L3149" s="19"/>
      <c r="M3149" s="19"/>
      <c r="N3149" s="19"/>
      <c r="O3149" s="19"/>
      <c r="P3149" s="19"/>
      <c r="Q3149" s="19"/>
      <c r="R3149" s="20"/>
    </row>
    <row r="3150" spans="1:19" x14ac:dyDescent="0.35">
      <c r="A3150" s="82"/>
      <c r="B3150" s="19"/>
      <c r="C3150" s="19"/>
      <c r="D3150" s="19"/>
      <c r="E3150" s="19"/>
      <c r="F3150" s="19"/>
      <c r="G3150" s="19"/>
      <c r="H3150" s="19"/>
      <c r="I3150" s="19"/>
      <c r="J3150" s="19"/>
      <c r="K3150" s="19"/>
      <c r="L3150" s="19"/>
      <c r="M3150" s="19"/>
      <c r="N3150" s="19"/>
      <c r="O3150" s="19"/>
      <c r="P3150" s="19"/>
      <c r="Q3150" s="19"/>
      <c r="R3150" s="20"/>
    </row>
    <row r="3151" spans="1:19" x14ac:dyDescent="0.35">
      <c r="A3151" s="81"/>
      <c r="B3151" s="17"/>
      <c r="C3151" s="17"/>
      <c r="D3151" s="17"/>
      <c r="E3151" s="17"/>
      <c r="F3151" s="17"/>
      <c r="G3151" s="17"/>
      <c r="H3151" s="17"/>
      <c r="I3151" s="17"/>
      <c r="J3151" s="17"/>
      <c r="K3151" s="17"/>
      <c r="L3151" s="19"/>
      <c r="M3151" s="19"/>
      <c r="N3151" s="19"/>
      <c r="O3151" s="17"/>
      <c r="P3151" s="17"/>
      <c r="Q3151" s="17"/>
      <c r="R3151" s="18"/>
      <c r="S3151" s="30"/>
    </row>
    <row r="3152" spans="1:19" x14ac:dyDescent="0.35">
      <c r="A3152" s="81"/>
      <c r="B3152" s="17"/>
      <c r="C3152" s="17"/>
      <c r="D3152" s="17"/>
      <c r="E3152" s="17"/>
      <c r="F3152" s="17"/>
      <c r="G3152" s="17"/>
      <c r="H3152" s="17"/>
      <c r="I3152" s="17"/>
      <c r="J3152" s="17"/>
      <c r="K3152" s="17"/>
      <c r="L3152" s="17"/>
      <c r="M3152" s="17"/>
      <c r="N3152" s="17"/>
      <c r="O3152" s="17"/>
      <c r="P3152" s="17"/>
      <c r="Q3152" s="17"/>
      <c r="R3152" s="18"/>
      <c r="S3152" s="30"/>
    </row>
    <row r="3153" spans="1:19" x14ac:dyDescent="0.35">
      <c r="A3153" s="82"/>
      <c r="B3153" s="19"/>
      <c r="C3153" s="19"/>
      <c r="D3153" s="19"/>
      <c r="E3153" s="19"/>
      <c r="F3153" s="19"/>
      <c r="G3153" s="19"/>
      <c r="H3153" s="19"/>
      <c r="I3153" s="19"/>
      <c r="J3153" s="19"/>
      <c r="K3153" s="19"/>
      <c r="L3153" s="19"/>
      <c r="M3153" s="19"/>
      <c r="N3153" s="19"/>
      <c r="O3153" s="19"/>
      <c r="P3153" s="19"/>
      <c r="Q3153" s="19"/>
      <c r="R3153" s="20"/>
    </row>
    <row r="3154" spans="1:19" x14ac:dyDescent="0.35">
      <c r="A3154" s="82"/>
      <c r="B3154" s="19"/>
      <c r="C3154" s="19"/>
      <c r="D3154" s="19"/>
      <c r="E3154" s="19"/>
      <c r="F3154" s="19"/>
      <c r="G3154" s="19"/>
      <c r="H3154" s="19"/>
      <c r="I3154" s="19"/>
      <c r="J3154" s="19"/>
      <c r="K3154" s="19"/>
      <c r="L3154" s="19"/>
      <c r="M3154" s="19"/>
      <c r="N3154" s="19"/>
      <c r="O3154" s="19"/>
      <c r="P3154" s="19"/>
      <c r="Q3154" s="19"/>
      <c r="R3154" s="20"/>
    </row>
    <row r="3155" spans="1:19" x14ac:dyDescent="0.35">
      <c r="A3155" s="81"/>
      <c r="B3155" s="17"/>
      <c r="C3155" s="17"/>
      <c r="D3155" s="17"/>
      <c r="E3155" s="17"/>
      <c r="F3155" s="17"/>
      <c r="G3155" s="17"/>
      <c r="H3155" s="17"/>
      <c r="I3155" s="17"/>
      <c r="J3155" s="17"/>
      <c r="K3155" s="17"/>
      <c r="L3155" s="19"/>
      <c r="M3155" s="19"/>
      <c r="N3155" s="19"/>
      <c r="O3155" s="17"/>
      <c r="P3155" s="17"/>
      <c r="Q3155" s="17"/>
      <c r="R3155" s="18"/>
      <c r="S3155" s="30"/>
    </row>
    <row r="3156" spans="1:19" x14ac:dyDescent="0.35">
      <c r="A3156" s="82"/>
      <c r="B3156" s="19"/>
      <c r="C3156" s="19"/>
      <c r="D3156" s="19"/>
      <c r="E3156" s="19"/>
      <c r="F3156" s="19"/>
      <c r="G3156" s="19"/>
      <c r="H3156" s="19"/>
      <c r="I3156" s="19"/>
      <c r="J3156" s="19"/>
      <c r="K3156" s="19"/>
      <c r="L3156" s="19"/>
      <c r="M3156" s="19"/>
      <c r="N3156" s="19"/>
      <c r="O3156" s="19"/>
      <c r="P3156" s="19"/>
      <c r="Q3156" s="19"/>
      <c r="R3156" s="20"/>
    </row>
    <row r="3157" spans="1:19" x14ac:dyDescent="0.35">
      <c r="A3157" s="81"/>
      <c r="B3157" s="17"/>
      <c r="C3157" s="17"/>
      <c r="D3157" s="17"/>
      <c r="E3157" s="17"/>
      <c r="F3157" s="17"/>
      <c r="G3157" s="17"/>
      <c r="H3157" s="17"/>
      <c r="I3157" s="17"/>
      <c r="J3157" s="17"/>
      <c r="K3157" s="17"/>
      <c r="L3157" s="19"/>
      <c r="M3157" s="19"/>
      <c r="N3157" s="19"/>
      <c r="O3157" s="17"/>
      <c r="P3157" s="17"/>
      <c r="Q3157" s="17"/>
      <c r="R3157" s="18"/>
      <c r="S3157" s="30"/>
    </row>
    <row r="3158" spans="1:19" x14ac:dyDescent="0.35">
      <c r="A3158" s="81"/>
      <c r="B3158" s="17"/>
      <c r="C3158" s="17"/>
      <c r="D3158" s="17"/>
      <c r="E3158" s="17"/>
      <c r="F3158" s="17"/>
      <c r="G3158" s="17"/>
      <c r="H3158" s="17"/>
      <c r="I3158" s="17"/>
      <c r="J3158" s="17"/>
      <c r="K3158" s="17"/>
      <c r="L3158" s="19"/>
      <c r="M3158" s="19"/>
      <c r="N3158" s="19"/>
      <c r="O3158" s="17"/>
      <c r="P3158" s="17"/>
      <c r="Q3158" s="17"/>
      <c r="R3158" s="18"/>
      <c r="S3158" s="30"/>
    </row>
    <row r="3159" spans="1:19" x14ac:dyDescent="0.35">
      <c r="A3159" s="82"/>
      <c r="B3159" s="19"/>
      <c r="C3159" s="19"/>
      <c r="D3159" s="19"/>
      <c r="E3159" s="19"/>
      <c r="F3159" s="19"/>
      <c r="G3159" s="19"/>
      <c r="H3159" s="19"/>
      <c r="I3159" s="19"/>
      <c r="J3159" s="19"/>
      <c r="K3159" s="19"/>
      <c r="L3159" s="19"/>
      <c r="M3159" s="19"/>
      <c r="N3159" s="19"/>
      <c r="O3159" s="19"/>
      <c r="P3159" s="19"/>
      <c r="Q3159" s="19"/>
      <c r="R3159" s="20"/>
    </row>
    <row r="3160" spans="1:19" x14ac:dyDescent="0.35">
      <c r="A3160" s="82"/>
      <c r="B3160" s="19"/>
      <c r="C3160" s="19"/>
      <c r="D3160" s="19"/>
      <c r="E3160" s="19"/>
      <c r="F3160" s="19"/>
      <c r="G3160" s="19"/>
      <c r="H3160" s="19"/>
      <c r="I3160" s="19"/>
      <c r="J3160" s="19"/>
      <c r="K3160" s="19"/>
      <c r="L3160" s="19"/>
      <c r="M3160" s="19"/>
      <c r="N3160" s="19"/>
      <c r="O3160" s="19"/>
      <c r="P3160" s="19"/>
      <c r="Q3160" s="19"/>
      <c r="R3160" s="20"/>
    </row>
    <row r="3161" spans="1:19" x14ac:dyDescent="0.35">
      <c r="A3161" s="81"/>
      <c r="B3161" s="17"/>
      <c r="C3161" s="17"/>
      <c r="D3161" s="17"/>
      <c r="E3161" s="17"/>
      <c r="F3161" s="17"/>
      <c r="G3161" s="17"/>
      <c r="H3161" s="17"/>
      <c r="I3161" s="17"/>
      <c r="J3161" s="17"/>
      <c r="K3161" s="17"/>
      <c r="L3161" s="17"/>
      <c r="M3161" s="17"/>
      <c r="N3161" s="17"/>
      <c r="O3161" s="17"/>
      <c r="P3161" s="17"/>
      <c r="Q3161" s="17"/>
      <c r="R3161" s="18"/>
    </row>
    <row r="3162" spans="1:19" x14ac:dyDescent="0.35">
      <c r="A3162" s="81"/>
      <c r="B3162" s="17"/>
      <c r="C3162" s="17"/>
      <c r="D3162" s="17"/>
      <c r="E3162" s="17"/>
      <c r="F3162" s="17"/>
      <c r="G3162" s="17"/>
      <c r="H3162" s="17"/>
      <c r="I3162" s="17"/>
      <c r="J3162" s="17"/>
      <c r="K3162" s="17"/>
      <c r="L3162" s="17"/>
      <c r="M3162" s="17"/>
      <c r="N3162" s="17"/>
      <c r="O3162" s="17"/>
      <c r="P3162" s="17"/>
      <c r="Q3162" s="17"/>
      <c r="R3162" s="18"/>
    </row>
    <row r="3163" spans="1:19" x14ac:dyDescent="0.35">
      <c r="A3163" s="82"/>
      <c r="B3163" s="19"/>
      <c r="C3163" s="19"/>
      <c r="D3163" s="19"/>
      <c r="E3163" s="19"/>
      <c r="F3163" s="19"/>
      <c r="G3163" s="19"/>
      <c r="H3163" s="19"/>
      <c r="I3163" s="19"/>
      <c r="J3163" s="19"/>
      <c r="K3163" s="19"/>
      <c r="L3163" s="19"/>
      <c r="M3163" s="19"/>
      <c r="N3163" s="19"/>
      <c r="O3163" s="19"/>
      <c r="P3163" s="19"/>
      <c r="Q3163" s="19"/>
      <c r="R3163" s="20"/>
    </row>
    <row r="3164" spans="1:19" x14ac:dyDescent="0.35">
      <c r="A3164" s="81"/>
      <c r="B3164" s="17"/>
      <c r="C3164" s="17"/>
      <c r="D3164" s="17"/>
      <c r="E3164" s="17"/>
      <c r="F3164" s="17"/>
      <c r="G3164" s="17"/>
      <c r="H3164" s="17"/>
      <c r="I3164" s="17"/>
      <c r="J3164" s="17"/>
      <c r="K3164" s="17"/>
      <c r="L3164" s="17"/>
      <c r="M3164" s="17"/>
      <c r="N3164" s="17"/>
      <c r="O3164" s="17"/>
      <c r="P3164" s="17"/>
      <c r="Q3164" s="17"/>
      <c r="R3164" s="20"/>
      <c r="S3164" s="30"/>
    </row>
    <row r="3165" spans="1:19" x14ac:dyDescent="0.35">
      <c r="A3165" s="82"/>
      <c r="B3165" s="19"/>
      <c r="C3165" s="19"/>
      <c r="D3165" s="19"/>
      <c r="E3165" s="19"/>
      <c r="F3165" s="19"/>
      <c r="G3165" s="19"/>
      <c r="H3165" s="19"/>
      <c r="I3165" s="19"/>
      <c r="J3165" s="19"/>
      <c r="K3165" s="19"/>
      <c r="L3165" s="19"/>
      <c r="M3165" s="19"/>
      <c r="N3165" s="19"/>
      <c r="O3165" s="19"/>
      <c r="P3165" s="19"/>
      <c r="Q3165" s="19"/>
      <c r="R3165" s="20"/>
    </row>
    <row r="3166" spans="1:19" x14ac:dyDescent="0.35">
      <c r="A3166" s="82"/>
      <c r="B3166" s="19"/>
      <c r="C3166" s="19"/>
      <c r="D3166" s="19"/>
      <c r="E3166" s="19"/>
      <c r="F3166" s="19"/>
      <c r="G3166" s="19"/>
      <c r="H3166" s="19"/>
      <c r="I3166" s="19"/>
      <c r="J3166" s="19"/>
      <c r="K3166" s="19"/>
      <c r="L3166" s="19"/>
      <c r="M3166" s="19"/>
      <c r="N3166" s="19"/>
      <c r="O3166" s="19"/>
      <c r="P3166" s="19"/>
      <c r="Q3166" s="19"/>
      <c r="R3166" s="20"/>
    </row>
    <row r="3167" spans="1:19" x14ac:dyDescent="0.35">
      <c r="A3167" s="82"/>
      <c r="B3167" s="19"/>
      <c r="C3167" s="19"/>
      <c r="D3167" s="19"/>
      <c r="E3167" s="19"/>
      <c r="F3167" s="19"/>
      <c r="G3167" s="19"/>
      <c r="H3167" s="19"/>
      <c r="I3167" s="19"/>
      <c r="J3167" s="19"/>
      <c r="K3167" s="19"/>
      <c r="L3167" s="19"/>
      <c r="M3167" s="19"/>
      <c r="N3167" s="19"/>
      <c r="O3167" s="19"/>
      <c r="P3167" s="19"/>
      <c r="Q3167" s="19"/>
      <c r="R3167" s="20"/>
    </row>
    <row r="3168" spans="1:19" x14ac:dyDescent="0.35">
      <c r="A3168" s="82"/>
      <c r="B3168" s="19"/>
      <c r="C3168" s="19"/>
      <c r="D3168" s="19"/>
      <c r="E3168" s="19"/>
      <c r="F3168" s="19"/>
      <c r="G3168" s="19"/>
      <c r="H3168" s="19"/>
      <c r="I3168" s="19"/>
      <c r="J3168" s="19"/>
      <c r="K3168" s="19"/>
      <c r="L3168" s="19"/>
      <c r="M3168" s="19"/>
      <c r="N3168" s="19"/>
      <c r="O3168" s="19"/>
      <c r="P3168" s="19"/>
      <c r="Q3168" s="19"/>
      <c r="R3168" s="20"/>
    </row>
    <row r="3169" spans="1:19" x14ac:dyDescent="0.35">
      <c r="A3169" s="82"/>
      <c r="B3169" s="19"/>
      <c r="C3169" s="19"/>
      <c r="D3169" s="19"/>
      <c r="E3169" s="19"/>
      <c r="F3169" s="19"/>
      <c r="G3169" s="19"/>
      <c r="H3169" s="19"/>
      <c r="I3169" s="19"/>
      <c r="J3169" s="19"/>
      <c r="K3169" s="19"/>
      <c r="L3169" s="19"/>
      <c r="M3169" s="19"/>
      <c r="N3169" s="19"/>
      <c r="O3169" s="19"/>
      <c r="P3169" s="19"/>
      <c r="Q3169" s="19"/>
      <c r="R3169" s="20"/>
      <c r="S3169" s="20"/>
    </row>
    <row r="3170" spans="1:19" x14ac:dyDescent="0.35">
      <c r="A3170" s="82"/>
      <c r="B3170" s="19"/>
      <c r="C3170" s="19"/>
      <c r="D3170" s="19"/>
      <c r="E3170" s="19"/>
      <c r="F3170" s="19"/>
      <c r="G3170" s="19"/>
      <c r="H3170" s="19"/>
      <c r="I3170" s="19"/>
      <c r="J3170" s="19"/>
      <c r="K3170" s="19"/>
      <c r="L3170" s="19"/>
      <c r="M3170" s="19"/>
      <c r="N3170" s="19"/>
      <c r="O3170" s="19"/>
      <c r="P3170" s="19"/>
      <c r="Q3170" s="19"/>
      <c r="R3170" s="20"/>
      <c r="S3170" s="20"/>
    </row>
    <row r="3171" spans="1:19" x14ac:dyDescent="0.35">
      <c r="A3171" s="81"/>
      <c r="B3171" s="17"/>
      <c r="C3171" s="17"/>
      <c r="D3171" s="17"/>
      <c r="E3171" s="17"/>
      <c r="F3171" s="17"/>
      <c r="G3171" s="17"/>
      <c r="H3171" s="17"/>
      <c r="I3171" s="17"/>
      <c r="J3171" s="17"/>
      <c r="K3171" s="17"/>
      <c r="L3171" s="17"/>
      <c r="M3171" s="17"/>
      <c r="N3171" s="17"/>
      <c r="O3171" s="17"/>
      <c r="P3171" s="17"/>
      <c r="Q3171" s="17"/>
      <c r="R3171" s="18"/>
      <c r="S3171" s="20"/>
    </row>
    <row r="3172" spans="1:19" x14ac:dyDescent="0.35">
      <c r="A3172" s="81"/>
      <c r="B3172" s="17"/>
      <c r="C3172" s="17"/>
      <c r="D3172" s="17"/>
      <c r="E3172" s="17"/>
      <c r="F3172" s="17"/>
      <c r="G3172" s="17"/>
      <c r="H3172" s="17"/>
      <c r="I3172" s="17"/>
      <c r="J3172" s="17"/>
      <c r="K3172" s="17"/>
      <c r="L3172" s="17"/>
      <c r="M3172" s="17"/>
      <c r="N3172" s="17"/>
      <c r="O3172" s="17"/>
      <c r="P3172" s="17"/>
      <c r="Q3172" s="17"/>
      <c r="R3172" s="18"/>
      <c r="S3172" s="20"/>
    </row>
    <row r="3173" spans="1:19" x14ac:dyDescent="0.35">
      <c r="A3173" s="82"/>
      <c r="B3173" s="19"/>
      <c r="C3173" s="19"/>
      <c r="D3173" s="19"/>
      <c r="E3173" s="19"/>
      <c r="F3173" s="19"/>
      <c r="G3173" s="19"/>
      <c r="H3173" s="19"/>
      <c r="I3173" s="19"/>
      <c r="J3173" s="19"/>
      <c r="K3173" s="19"/>
      <c r="L3173" s="19"/>
      <c r="M3173" s="19"/>
      <c r="N3173" s="19"/>
      <c r="O3173" s="19"/>
      <c r="P3173" s="19"/>
      <c r="Q3173" s="19"/>
      <c r="R3173" s="20"/>
      <c r="S3173" s="18"/>
    </row>
    <row r="3174" spans="1:19" x14ac:dyDescent="0.35">
      <c r="A3174" s="81"/>
      <c r="B3174" s="17"/>
      <c r="C3174" s="17"/>
      <c r="D3174" s="17"/>
      <c r="E3174" s="17"/>
      <c r="F3174" s="17"/>
      <c r="G3174" s="17"/>
      <c r="H3174" s="17"/>
      <c r="I3174" s="17"/>
      <c r="J3174" s="17"/>
      <c r="K3174" s="17"/>
      <c r="L3174" s="17"/>
      <c r="M3174" s="17"/>
      <c r="N3174" s="17"/>
      <c r="O3174" s="17"/>
      <c r="P3174" s="17"/>
      <c r="Q3174" s="17"/>
      <c r="R3174" s="18"/>
      <c r="S3174" s="20"/>
    </row>
    <row r="3175" spans="1:19" x14ac:dyDescent="0.35">
      <c r="A3175" s="81"/>
      <c r="B3175" s="17"/>
      <c r="C3175" s="17"/>
      <c r="D3175" s="17"/>
      <c r="E3175" s="17"/>
      <c r="F3175" s="17"/>
      <c r="G3175" s="17"/>
      <c r="H3175" s="17"/>
      <c r="I3175" s="17"/>
      <c r="J3175" s="17"/>
      <c r="K3175" s="17"/>
      <c r="L3175" s="17"/>
      <c r="M3175" s="17"/>
      <c r="N3175" s="17"/>
      <c r="O3175" s="17"/>
      <c r="P3175" s="17"/>
      <c r="Q3175" s="17"/>
      <c r="R3175" s="18"/>
      <c r="S3175" s="20"/>
    </row>
    <row r="3176" spans="1:19" x14ac:dyDescent="0.35">
      <c r="A3176" s="81"/>
      <c r="B3176" s="17"/>
      <c r="C3176" s="17"/>
      <c r="D3176" s="17"/>
      <c r="E3176" s="17"/>
      <c r="F3176" s="17"/>
      <c r="G3176" s="17"/>
      <c r="H3176" s="17"/>
      <c r="I3176" s="17"/>
      <c r="J3176" s="17"/>
      <c r="K3176" s="17"/>
      <c r="L3176" s="17"/>
      <c r="M3176" s="17"/>
      <c r="N3176" s="17"/>
      <c r="O3176" s="17"/>
      <c r="P3176" s="17"/>
      <c r="Q3176" s="17"/>
      <c r="R3176" s="18"/>
      <c r="S3176" s="20"/>
    </row>
    <row r="3177" spans="1:19" x14ac:dyDescent="0.35">
      <c r="A3177" s="81"/>
      <c r="B3177" s="17"/>
      <c r="C3177" s="17"/>
      <c r="D3177" s="17"/>
      <c r="E3177" s="17"/>
      <c r="F3177" s="17"/>
      <c r="G3177" s="17"/>
      <c r="H3177" s="17"/>
      <c r="I3177" s="17"/>
      <c r="J3177" s="17"/>
      <c r="K3177" s="17"/>
      <c r="L3177" s="17"/>
      <c r="M3177" s="17"/>
      <c r="N3177" s="17"/>
      <c r="O3177" s="17"/>
      <c r="P3177" s="17"/>
      <c r="Q3177" s="17"/>
      <c r="R3177" s="18"/>
      <c r="S3177" s="20"/>
    </row>
    <row r="3178" spans="1:19" x14ac:dyDescent="0.35">
      <c r="A3178" s="82"/>
      <c r="B3178" s="19"/>
      <c r="C3178" s="19"/>
      <c r="D3178" s="19"/>
      <c r="E3178" s="19"/>
      <c r="F3178" s="19"/>
      <c r="G3178" s="19"/>
      <c r="H3178" s="19"/>
      <c r="I3178" s="19"/>
      <c r="J3178" s="19"/>
      <c r="K3178" s="19"/>
      <c r="L3178" s="19"/>
      <c r="M3178" s="19"/>
      <c r="N3178" s="19"/>
      <c r="O3178" s="19"/>
      <c r="P3178" s="19"/>
      <c r="Q3178" s="19"/>
      <c r="R3178" s="20"/>
      <c r="S3178" s="20"/>
    </row>
    <row r="3179" spans="1:19" x14ac:dyDescent="0.35">
      <c r="A3179" s="82"/>
      <c r="B3179" s="19"/>
      <c r="C3179" s="19"/>
      <c r="D3179" s="19"/>
      <c r="E3179" s="19"/>
      <c r="F3179" s="19"/>
      <c r="G3179" s="19"/>
      <c r="H3179" s="19"/>
      <c r="I3179" s="19"/>
      <c r="J3179" s="19"/>
      <c r="K3179" s="19"/>
      <c r="L3179" s="19"/>
      <c r="M3179" s="19"/>
      <c r="N3179" s="19"/>
      <c r="O3179" s="19"/>
      <c r="P3179" s="19"/>
      <c r="Q3179" s="19"/>
      <c r="R3179" s="20"/>
      <c r="S3179" s="20"/>
    </row>
    <row r="3180" spans="1:19" x14ac:dyDescent="0.35">
      <c r="A3180" s="81"/>
      <c r="B3180" s="17"/>
      <c r="C3180" s="17"/>
      <c r="D3180" s="17"/>
      <c r="E3180" s="17"/>
      <c r="F3180" s="17"/>
      <c r="G3180" s="17"/>
      <c r="H3180" s="17"/>
      <c r="I3180" s="17"/>
      <c r="J3180" s="17"/>
      <c r="K3180" s="17"/>
      <c r="L3180" s="19"/>
      <c r="M3180" s="19"/>
      <c r="N3180" s="19"/>
      <c r="O3180" s="19"/>
      <c r="P3180" s="17"/>
      <c r="Q3180" s="17"/>
      <c r="R3180" s="18"/>
      <c r="S3180" s="20"/>
    </row>
    <row r="3181" spans="1:19" x14ac:dyDescent="0.35">
      <c r="A3181" s="82"/>
      <c r="B3181" s="19"/>
      <c r="C3181" s="19"/>
      <c r="D3181" s="19"/>
      <c r="E3181" s="19"/>
      <c r="F3181" s="19"/>
      <c r="G3181" s="19"/>
      <c r="H3181" s="19"/>
      <c r="I3181" s="19"/>
      <c r="J3181" s="19"/>
      <c r="K3181" s="19"/>
      <c r="L3181" s="19"/>
      <c r="M3181" s="19"/>
      <c r="N3181" s="19"/>
      <c r="O3181" s="19"/>
      <c r="P3181" s="19"/>
      <c r="Q3181" s="19"/>
      <c r="R3181" s="20"/>
      <c r="S3181" s="20"/>
    </row>
    <row r="3182" spans="1:19" x14ac:dyDescent="0.35">
      <c r="A3182" s="81"/>
      <c r="B3182" s="17"/>
      <c r="C3182" s="17"/>
      <c r="D3182" s="17"/>
      <c r="E3182" s="17"/>
      <c r="F3182" s="17"/>
      <c r="G3182" s="17"/>
      <c r="H3182" s="17"/>
      <c r="I3182" s="17"/>
      <c r="J3182" s="17"/>
      <c r="K3182" s="17"/>
      <c r="L3182" s="17"/>
      <c r="M3182" s="17"/>
      <c r="N3182" s="17"/>
      <c r="O3182" s="17"/>
      <c r="P3182" s="17"/>
      <c r="Q3182" s="17"/>
      <c r="R3182" s="18"/>
      <c r="S3182" s="20"/>
    </row>
    <row r="3183" spans="1:19" x14ac:dyDescent="0.35">
      <c r="A3183" s="82"/>
      <c r="B3183" s="19"/>
      <c r="C3183" s="19"/>
      <c r="D3183" s="19"/>
      <c r="E3183" s="19"/>
      <c r="F3183" s="19"/>
      <c r="G3183" s="19"/>
      <c r="H3183" s="19"/>
      <c r="I3183" s="19"/>
      <c r="J3183" s="19"/>
      <c r="K3183" s="19"/>
      <c r="L3183" s="19"/>
      <c r="M3183" s="19"/>
      <c r="N3183" s="19"/>
      <c r="O3183" s="19"/>
      <c r="P3183" s="19"/>
      <c r="Q3183" s="19"/>
      <c r="R3183" s="20"/>
      <c r="S3183" s="20"/>
    </row>
    <row r="3184" spans="1:19" x14ac:dyDescent="0.35">
      <c r="A3184" s="82"/>
      <c r="B3184" s="19"/>
      <c r="C3184" s="19"/>
      <c r="D3184" s="19"/>
      <c r="E3184" s="19"/>
      <c r="F3184" s="19"/>
      <c r="G3184" s="19"/>
      <c r="H3184" s="19"/>
      <c r="I3184" s="19"/>
      <c r="J3184" s="19"/>
      <c r="K3184" s="19"/>
      <c r="L3184" s="19"/>
      <c r="M3184" s="19"/>
      <c r="N3184" s="19"/>
      <c r="O3184" s="19"/>
      <c r="P3184" s="19"/>
      <c r="Q3184" s="19"/>
      <c r="R3184" s="20"/>
      <c r="S3184" s="20"/>
    </row>
    <row r="3185" spans="1:19" x14ac:dyDescent="0.35">
      <c r="A3185" s="82"/>
      <c r="B3185" s="19"/>
      <c r="C3185" s="19"/>
      <c r="D3185" s="19"/>
      <c r="E3185" s="19"/>
      <c r="F3185" s="19"/>
      <c r="G3185" s="19"/>
      <c r="H3185" s="19"/>
      <c r="I3185" s="19"/>
      <c r="J3185" s="19"/>
      <c r="K3185" s="19"/>
      <c r="L3185" s="19"/>
      <c r="M3185" s="19"/>
      <c r="N3185" s="19"/>
      <c r="O3185" s="19"/>
      <c r="P3185" s="19"/>
      <c r="Q3185" s="19"/>
      <c r="R3185" s="20"/>
      <c r="S3185" s="20"/>
    </row>
    <row r="3186" spans="1:19" x14ac:dyDescent="0.35">
      <c r="A3186" s="82"/>
      <c r="B3186" s="19"/>
      <c r="C3186" s="19"/>
      <c r="D3186" s="19"/>
      <c r="E3186" s="19"/>
      <c r="F3186" s="19"/>
      <c r="G3186" s="19"/>
      <c r="H3186" s="19"/>
      <c r="I3186" s="19"/>
      <c r="J3186" s="19"/>
      <c r="K3186" s="19"/>
      <c r="L3186" s="19"/>
      <c r="M3186" s="19"/>
      <c r="N3186" s="19"/>
      <c r="O3186" s="19"/>
      <c r="P3186" s="19"/>
      <c r="Q3186" s="19"/>
      <c r="R3186" s="20"/>
      <c r="S3186" s="20"/>
    </row>
    <row r="3187" spans="1:19" x14ac:dyDescent="0.35">
      <c r="A3187" s="82"/>
      <c r="B3187" s="19"/>
      <c r="C3187" s="19"/>
      <c r="D3187" s="19"/>
      <c r="E3187" s="19"/>
      <c r="F3187" s="19"/>
      <c r="G3187" s="19"/>
      <c r="H3187" s="19"/>
      <c r="I3187" s="19"/>
      <c r="J3187" s="19"/>
      <c r="K3187" s="19"/>
      <c r="L3187" s="19"/>
      <c r="M3187" s="19"/>
      <c r="N3187" s="19"/>
      <c r="O3187" s="19"/>
      <c r="P3187" s="19"/>
      <c r="Q3187" s="19"/>
      <c r="R3187" s="20"/>
      <c r="S3187" s="20"/>
    </row>
    <row r="3188" spans="1:19" x14ac:dyDescent="0.35">
      <c r="A3188" s="82"/>
      <c r="B3188" s="19"/>
      <c r="C3188" s="19"/>
      <c r="D3188" s="19"/>
      <c r="E3188" s="19"/>
      <c r="F3188" s="19"/>
      <c r="G3188" s="19"/>
      <c r="H3188" s="19"/>
      <c r="I3188" s="19"/>
      <c r="J3188" s="19"/>
      <c r="K3188" s="19"/>
      <c r="L3188" s="19"/>
      <c r="M3188" s="19"/>
      <c r="N3188" s="19"/>
      <c r="O3188" s="19"/>
      <c r="P3188" s="19"/>
      <c r="Q3188" s="19"/>
      <c r="R3188" s="20"/>
      <c r="S3188" s="20"/>
    </row>
    <row r="3189" spans="1:19" x14ac:dyDescent="0.35">
      <c r="A3189" s="81"/>
      <c r="B3189" s="17"/>
      <c r="C3189" s="17"/>
      <c r="D3189" s="17"/>
      <c r="E3189" s="17"/>
      <c r="F3189" s="17"/>
      <c r="G3189" s="17"/>
      <c r="H3189" s="17"/>
      <c r="I3189" s="17"/>
      <c r="J3189" s="17"/>
      <c r="K3189" s="17"/>
      <c r="L3189" s="17"/>
      <c r="M3189" s="17"/>
      <c r="N3189" s="17"/>
      <c r="O3189" s="17"/>
      <c r="P3189" s="17"/>
      <c r="Q3189" s="17"/>
      <c r="R3189" s="18"/>
      <c r="S3189" s="20"/>
    </row>
    <row r="3190" spans="1:19" x14ac:dyDescent="0.35">
      <c r="A3190" s="82"/>
      <c r="B3190" s="19"/>
      <c r="C3190" s="19"/>
      <c r="D3190" s="19"/>
      <c r="E3190" s="19"/>
      <c r="F3190" s="19"/>
      <c r="G3190" s="19"/>
      <c r="H3190" s="19"/>
      <c r="I3190" s="19"/>
      <c r="J3190" s="19"/>
      <c r="K3190" s="19"/>
      <c r="L3190" s="19"/>
      <c r="M3190" s="19"/>
      <c r="N3190" s="19"/>
      <c r="O3190" s="19"/>
      <c r="P3190" s="19"/>
      <c r="Q3190" s="19"/>
      <c r="R3190" s="20"/>
      <c r="S3190" s="20"/>
    </row>
    <row r="3191" spans="1:19" x14ac:dyDescent="0.35">
      <c r="A3191" s="81"/>
      <c r="B3191" s="17"/>
      <c r="C3191" s="17"/>
      <c r="D3191" s="17"/>
      <c r="E3191" s="17"/>
      <c r="F3191" s="17"/>
      <c r="G3191" s="17"/>
      <c r="H3191" s="17"/>
      <c r="I3191" s="17"/>
      <c r="J3191" s="17"/>
      <c r="K3191" s="17"/>
      <c r="L3191" s="17"/>
      <c r="M3191" s="17"/>
      <c r="N3191" s="17"/>
      <c r="O3191" s="17"/>
      <c r="P3191" s="17"/>
      <c r="Q3191" s="17"/>
      <c r="R3191" s="18"/>
      <c r="S3191" s="20"/>
    </row>
    <row r="3192" spans="1:19" x14ac:dyDescent="0.35">
      <c r="A3192" s="81"/>
      <c r="B3192" s="17"/>
      <c r="C3192" s="17"/>
      <c r="D3192" s="17"/>
      <c r="E3192" s="17"/>
      <c r="F3192" s="17"/>
      <c r="G3192" s="17"/>
      <c r="H3192" s="17"/>
      <c r="I3192" s="17"/>
      <c r="J3192" s="17"/>
      <c r="K3192" s="17"/>
      <c r="L3192" s="17"/>
      <c r="M3192" s="17"/>
      <c r="N3192" s="17"/>
      <c r="O3192" s="17"/>
      <c r="P3192" s="17"/>
      <c r="Q3192" s="17"/>
      <c r="R3192" s="18"/>
      <c r="S3192" s="20"/>
    </row>
    <row r="3193" spans="1:19" x14ac:dyDescent="0.35">
      <c r="A3193" s="82"/>
      <c r="B3193" s="19"/>
      <c r="C3193" s="19"/>
      <c r="D3193" s="19"/>
      <c r="E3193" s="19"/>
      <c r="F3193" s="19"/>
      <c r="G3193" s="19"/>
      <c r="H3193" s="19"/>
      <c r="I3193" s="19"/>
      <c r="J3193" s="19"/>
      <c r="K3193" s="19"/>
      <c r="L3193" s="19"/>
      <c r="M3193" s="19"/>
      <c r="N3193" s="19"/>
      <c r="O3193" s="19"/>
      <c r="P3193" s="19"/>
      <c r="Q3193" s="19"/>
      <c r="R3193" s="20"/>
      <c r="S3193" s="18"/>
    </row>
    <row r="3194" spans="1:19" x14ac:dyDescent="0.35">
      <c r="A3194" s="81"/>
      <c r="B3194" s="17"/>
      <c r="C3194" s="17"/>
      <c r="D3194" s="17"/>
      <c r="E3194" s="17"/>
      <c r="F3194" s="17"/>
      <c r="G3194" s="17"/>
      <c r="H3194" s="17"/>
      <c r="I3194" s="17"/>
      <c r="J3194" s="17"/>
      <c r="K3194" s="17"/>
      <c r="L3194" s="17"/>
      <c r="M3194" s="17"/>
      <c r="N3194" s="17"/>
      <c r="O3194" s="17"/>
      <c r="P3194" s="17"/>
      <c r="Q3194" s="17"/>
      <c r="R3194" s="18"/>
      <c r="S3194" s="20"/>
    </row>
    <row r="3195" spans="1:19" x14ac:dyDescent="0.35">
      <c r="A3195" s="82"/>
      <c r="B3195" s="19"/>
      <c r="C3195" s="19"/>
      <c r="D3195" s="19"/>
      <c r="E3195" s="19"/>
      <c r="F3195" s="19"/>
      <c r="G3195" s="19"/>
      <c r="H3195" s="19"/>
      <c r="I3195" s="19"/>
      <c r="J3195" s="19"/>
      <c r="K3195" s="19"/>
      <c r="L3195" s="19"/>
      <c r="M3195" s="19"/>
      <c r="N3195" s="19"/>
      <c r="O3195" s="19"/>
      <c r="P3195" s="19"/>
      <c r="Q3195" s="19"/>
      <c r="R3195" s="20"/>
      <c r="S3195" s="20"/>
    </row>
    <row r="3196" spans="1:19" x14ac:dyDescent="0.35">
      <c r="A3196" s="81"/>
      <c r="B3196" s="17"/>
      <c r="C3196" s="17"/>
      <c r="D3196" s="17"/>
      <c r="E3196" s="17"/>
      <c r="F3196" s="17"/>
      <c r="G3196" s="17"/>
      <c r="H3196" s="17"/>
      <c r="I3196" s="17"/>
      <c r="J3196" s="17"/>
      <c r="K3196" s="17"/>
      <c r="L3196" s="17"/>
      <c r="M3196" s="17"/>
      <c r="N3196" s="17"/>
      <c r="O3196" s="17"/>
      <c r="P3196" s="17"/>
      <c r="Q3196" s="17"/>
      <c r="R3196" s="18"/>
      <c r="S3196" s="20"/>
    </row>
    <row r="3197" spans="1:19" x14ac:dyDescent="0.35">
      <c r="A3197" s="82"/>
      <c r="B3197" s="19"/>
      <c r="C3197" s="19"/>
      <c r="D3197" s="19"/>
      <c r="E3197" s="19"/>
      <c r="F3197" s="19"/>
      <c r="G3197" s="19"/>
      <c r="H3197" s="19"/>
      <c r="I3197" s="19"/>
      <c r="J3197" s="19"/>
      <c r="K3197" s="19"/>
      <c r="L3197" s="19"/>
      <c r="M3197" s="19"/>
      <c r="N3197" s="19"/>
      <c r="O3197" s="19"/>
      <c r="P3197" s="19"/>
      <c r="Q3197" s="19"/>
      <c r="R3197" s="20"/>
      <c r="S3197" s="20"/>
    </row>
    <row r="3198" spans="1:19" x14ac:dyDescent="0.35">
      <c r="A3198" s="82"/>
      <c r="B3198" s="19"/>
      <c r="C3198" s="19"/>
      <c r="D3198" s="19"/>
      <c r="E3198" s="19"/>
      <c r="F3198" s="19"/>
      <c r="G3198" s="19"/>
      <c r="H3198" s="19"/>
      <c r="I3198" s="19"/>
      <c r="J3198" s="19"/>
      <c r="K3198" s="19"/>
      <c r="L3198" s="19"/>
      <c r="M3198" s="19"/>
      <c r="N3198" s="19"/>
      <c r="O3198" s="19"/>
      <c r="P3198" s="19"/>
      <c r="Q3198" s="19"/>
      <c r="R3198" s="20"/>
      <c r="S3198" s="20"/>
    </row>
    <row r="3199" spans="1:19" x14ac:dyDescent="0.35">
      <c r="A3199" s="81"/>
      <c r="B3199" s="17"/>
      <c r="C3199" s="17"/>
      <c r="D3199" s="17"/>
      <c r="E3199" s="17"/>
      <c r="F3199" s="17"/>
      <c r="G3199" s="17"/>
      <c r="H3199" s="17"/>
      <c r="I3199" s="17"/>
      <c r="J3199" s="17"/>
      <c r="K3199" s="17"/>
      <c r="L3199" s="17"/>
      <c r="M3199" s="17"/>
      <c r="N3199" s="17"/>
      <c r="O3199" s="17"/>
      <c r="P3199" s="17"/>
      <c r="Q3199" s="17"/>
      <c r="R3199" s="18"/>
      <c r="S3199" s="20"/>
    </row>
    <row r="3200" spans="1:19" x14ac:dyDescent="0.35">
      <c r="A3200" s="82"/>
      <c r="B3200" s="19"/>
      <c r="C3200" s="19"/>
      <c r="D3200" s="19"/>
      <c r="E3200" s="19"/>
      <c r="F3200" s="19"/>
      <c r="G3200" s="19"/>
      <c r="H3200" s="19"/>
      <c r="I3200" s="19"/>
      <c r="J3200" s="19"/>
      <c r="K3200" s="19"/>
      <c r="L3200" s="19"/>
      <c r="M3200" s="19"/>
      <c r="N3200" s="19"/>
      <c r="O3200" s="19"/>
      <c r="P3200" s="19"/>
      <c r="Q3200" s="19"/>
      <c r="R3200" s="20"/>
      <c r="S3200" s="20"/>
    </row>
    <row r="3201" spans="1:19" x14ac:dyDescent="0.35">
      <c r="A3201" s="81"/>
      <c r="B3201" s="17"/>
      <c r="C3201" s="17"/>
      <c r="D3201" s="17"/>
      <c r="E3201" s="17"/>
      <c r="F3201" s="17"/>
      <c r="G3201" s="17"/>
      <c r="H3201" s="17"/>
      <c r="I3201" s="17"/>
      <c r="J3201" s="17"/>
      <c r="K3201" s="17"/>
      <c r="L3201" s="17"/>
      <c r="M3201" s="17"/>
      <c r="N3201" s="17"/>
      <c r="O3201" s="17"/>
      <c r="P3201" s="17"/>
      <c r="Q3201" s="17"/>
      <c r="R3201" s="18"/>
      <c r="S3201" s="20"/>
    </row>
    <row r="3202" spans="1:19" x14ac:dyDescent="0.35">
      <c r="A3202" s="81"/>
      <c r="B3202" s="17"/>
      <c r="C3202" s="17"/>
      <c r="D3202" s="17"/>
      <c r="E3202" s="17"/>
      <c r="F3202" s="17"/>
      <c r="G3202" s="17"/>
      <c r="H3202" s="17"/>
      <c r="I3202" s="17"/>
      <c r="J3202" s="17"/>
      <c r="K3202" s="17"/>
      <c r="L3202" s="17"/>
      <c r="M3202" s="17"/>
      <c r="N3202" s="17"/>
      <c r="O3202" s="17"/>
      <c r="P3202" s="17"/>
      <c r="Q3202" s="17"/>
      <c r="R3202" s="18"/>
      <c r="S3202" s="20"/>
    </row>
    <row r="3203" spans="1:19" x14ac:dyDescent="0.35">
      <c r="A3203" s="82"/>
      <c r="B3203" s="19"/>
      <c r="C3203" s="19"/>
      <c r="D3203" s="19"/>
      <c r="E3203" s="19"/>
      <c r="F3203" s="19"/>
      <c r="G3203" s="19"/>
      <c r="H3203" s="19"/>
      <c r="I3203" s="19"/>
      <c r="J3203" s="19"/>
      <c r="K3203" s="19"/>
      <c r="L3203" s="19"/>
      <c r="M3203" s="19"/>
      <c r="N3203" s="19"/>
      <c r="O3203" s="19"/>
      <c r="P3203" s="19"/>
      <c r="Q3203" s="19"/>
      <c r="R3203" s="20"/>
      <c r="S3203" s="20"/>
    </row>
    <row r="3204" spans="1:19" x14ac:dyDescent="0.35">
      <c r="A3204" s="81"/>
      <c r="B3204" s="17"/>
      <c r="C3204" s="17"/>
      <c r="D3204" s="17"/>
      <c r="E3204" s="17"/>
      <c r="F3204" s="17"/>
      <c r="G3204" s="17"/>
      <c r="H3204" s="17"/>
      <c r="I3204" s="17"/>
      <c r="J3204" s="17"/>
      <c r="K3204" s="17"/>
      <c r="L3204" s="17"/>
      <c r="M3204" s="17"/>
      <c r="N3204" s="17"/>
      <c r="O3204" s="17"/>
      <c r="P3204" s="17"/>
      <c r="Q3204" s="17"/>
      <c r="R3204" s="20"/>
      <c r="S3204" s="18"/>
    </row>
    <row r="3205" spans="1:19" x14ac:dyDescent="0.35">
      <c r="A3205" s="82"/>
      <c r="B3205" s="19"/>
      <c r="C3205" s="19"/>
      <c r="D3205" s="19"/>
      <c r="E3205" s="19"/>
      <c r="F3205" s="19"/>
      <c r="G3205" s="19"/>
      <c r="H3205" s="19"/>
      <c r="I3205" s="19"/>
      <c r="J3205" s="19"/>
      <c r="K3205" s="19"/>
      <c r="L3205" s="19"/>
      <c r="M3205" s="19"/>
      <c r="N3205" s="19"/>
      <c r="O3205" s="19"/>
      <c r="P3205" s="19"/>
      <c r="Q3205" s="19"/>
      <c r="R3205" s="20"/>
      <c r="S3205" s="20"/>
    </row>
    <row r="3206" spans="1:19" x14ac:dyDescent="0.35">
      <c r="A3206" s="82"/>
      <c r="B3206" s="19"/>
      <c r="C3206" s="19"/>
      <c r="D3206" s="19"/>
      <c r="E3206" s="19"/>
      <c r="F3206" s="19"/>
      <c r="G3206" s="19"/>
      <c r="H3206" s="19"/>
      <c r="I3206" s="19"/>
      <c r="J3206" s="19"/>
      <c r="K3206" s="19"/>
      <c r="L3206" s="19"/>
      <c r="M3206" s="19"/>
      <c r="N3206" s="19"/>
      <c r="O3206" s="19"/>
      <c r="P3206" s="19"/>
      <c r="Q3206" s="19"/>
      <c r="R3206" s="20"/>
      <c r="S3206" s="20"/>
    </row>
    <row r="3207" spans="1:19" x14ac:dyDescent="0.35">
      <c r="A3207" s="82"/>
      <c r="B3207" s="19"/>
      <c r="C3207" s="19"/>
      <c r="D3207" s="19"/>
      <c r="E3207" s="19"/>
      <c r="F3207" s="19"/>
      <c r="G3207" s="19"/>
      <c r="H3207" s="19"/>
      <c r="I3207" s="19"/>
      <c r="J3207" s="19"/>
      <c r="K3207" s="19"/>
      <c r="L3207" s="19"/>
      <c r="M3207" s="19"/>
      <c r="N3207" s="19"/>
      <c r="O3207" s="19"/>
      <c r="P3207" s="19"/>
      <c r="Q3207" s="19"/>
      <c r="R3207" s="20"/>
      <c r="S3207" s="20"/>
    </row>
    <row r="3208" spans="1:19" x14ac:dyDescent="0.35">
      <c r="A3208" s="82"/>
      <c r="B3208" s="19"/>
      <c r="C3208" s="19"/>
      <c r="D3208" s="19"/>
      <c r="E3208" s="19"/>
      <c r="F3208" s="19"/>
      <c r="G3208" s="19"/>
      <c r="H3208" s="19"/>
      <c r="I3208" s="19"/>
      <c r="J3208" s="19"/>
      <c r="K3208" s="19"/>
      <c r="L3208" s="19"/>
      <c r="M3208" s="19"/>
      <c r="N3208" s="19"/>
      <c r="O3208" s="19"/>
      <c r="P3208" s="19"/>
      <c r="Q3208" s="19"/>
      <c r="R3208" s="20"/>
      <c r="S3208" s="20"/>
    </row>
    <row r="3209" spans="1:19" x14ac:dyDescent="0.35">
      <c r="A3209" s="81"/>
      <c r="B3209" s="17"/>
      <c r="C3209" s="17"/>
      <c r="D3209" s="17"/>
      <c r="E3209" s="17"/>
      <c r="F3209" s="17"/>
      <c r="G3209" s="17"/>
      <c r="H3209" s="17"/>
      <c r="I3209" s="17"/>
      <c r="J3209" s="17"/>
      <c r="K3209" s="17"/>
      <c r="L3209" s="17"/>
      <c r="M3209" s="17"/>
      <c r="N3209" s="17"/>
      <c r="O3209" s="17"/>
      <c r="P3209" s="17"/>
      <c r="Q3209" s="17"/>
      <c r="R3209" s="18"/>
      <c r="S3209" s="20"/>
    </row>
    <row r="3210" spans="1:19" x14ac:dyDescent="0.35">
      <c r="A3210" s="82"/>
      <c r="B3210" s="19"/>
      <c r="C3210" s="19"/>
      <c r="D3210" s="19"/>
      <c r="E3210" s="19"/>
      <c r="F3210" s="19"/>
      <c r="G3210" s="19"/>
      <c r="H3210" s="19"/>
      <c r="I3210" s="19"/>
      <c r="J3210" s="19"/>
      <c r="K3210" s="19"/>
      <c r="L3210" s="19"/>
      <c r="M3210" s="19"/>
      <c r="N3210" s="19"/>
      <c r="O3210" s="19"/>
      <c r="P3210" s="19"/>
      <c r="Q3210" s="19"/>
      <c r="R3210" s="20"/>
      <c r="S3210" s="20"/>
    </row>
    <row r="3211" spans="1:19" x14ac:dyDescent="0.35">
      <c r="A3211" s="81"/>
      <c r="B3211" s="17"/>
      <c r="C3211" s="17"/>
      <c r="D3211" s="17"/>
      <c r="E3211" s="17"/>
      <c r="F3211" s="17"/>
      <c r="G3211" s="17"/>
      <c r="H3211" s="17"/>
      <c r="I3211" s="17"/>
      <c r="J3211" s="17"/>
      <c r="K3211" s="17"/>
      <c r="L3211" s="17"/>
      <c r="M3211" s="17"/>
      <c r="N3211" s="17"/>
      <c r="O3211" s="17"/>
      <c r="P3211" s="17"/>
      <c r="Q3211" s="17"/>
      <c r="R3211" s="18"/>
      <c r="S3211" s="18"/>
    </row>
    <row r="3212" spans="1:19" x14ac:dyDescent="0.35">
      <c r="A3212" s="81"/>
      <c r="B3212" s="17"/>
      <c r="C3212" s="17"/>
      <c r="D3212" s="17"/>
      <c r="E3212" s="17"/>
      <c r="F3212" s="17"/>
      <c r="G3212" s="17"/>
      <c r="H3212" s="17"/>
      <c r="I3212" s="17"/>
      <c r="J3212" s="17"/>
      <c r="K3212" s="17"/>
      <c r="L3212" s="17"/>
      <c r="M3212" s="17"/>
      <c r="N3212" s="17"/>
      <c r="O3212" s="17"/>
      <c r="P3212" s="17"/>
      <c r="Q3212" s="17"/>
      <c r="R3212" s="18"/>
      <c r="S3212" s="20"/>
    </row>
    <row r="3213" spans="1:19" x14ac:dyDescent="0.35">
      <c r="A3213" s="82"/>
      <c r="B3213" s="19"/>
      <c r="C3213" s="19"/>
      <c r="D3213" s="19"/>
      <c r="E3213" s="19"/>
      <c r="F3213" s="19"/>
      <c r="G3213" s="19"/>
      <c r="H3213" s="19"/>
      <c r="I3213" s="19"/>
      <c r="J3213" s="19"/>
      <c r="K3213" s="19"/>
      <c r="L3213" s="19"/>
      <c r="M3213" s="19"/>
      <c r="N3213" s="19"/>
      <c r="O3213" s="19"/>
      <c r="P3213" s="19"/>
      <c r="Q3213" s="19"/>
      <c r="R3213" s="20"/>
      <c r="S3213" s="18"/>
    </row>
    <row r="3214" spans="1:19" x14ac:dyDescent="0.35">
      <c r="A3214" s="81"/>
      <c r="B3214" s="17"/>
      <c r="C3214" s="17"/>
      <c r="D3214" s="17"/>
      <c r="E3214" s="17"/>
      <c r="F3214" s="17"/>
      <c r="G3214" s="17"/>
      <c r="H3214" s="17"/>
      <c r="I3214" s="17"/>
      <c r="J3214" s="17"/>
      <c r="K3214" s="17"/>
      <c r="L3214" s="17"/>
      <c r="M3214" s="17"/>
      <c r="N3214" s="17"/>
      <c r="O3214" s="17"/>
      <c r="P3214" s="17"/>
      <c r="Q3214" s="17"/>
      <c r="R3214" s="18"/>
      <c r="S3214" s="20"/>
    </row>
    <row r="3215" spans="1:19" x14ac:dyDescent="0.35">
      <c r="A3215" s="81"/>
      <c r="B3215" s="17"/>
      <c r="C3215" s="17"/>
      <c r="D3215" s="17"/>
      <c r="E3215" s="17"/>
      <c r="F3215" s="17"/>
      <c r="G3215" s="17"/>
      <c r="H3215" s="17"/>
      <c r="I3215" s="17"/>
      <c r="J3215" s="17"/>
      <c r="K3215" s="17"/>
      <c r="L3215" s="17"/>
      <c r="M3215" s="17"/>
      <c r="N3215" s="17"/>
      <c r="O3215" s="17"/>
      <c r="P3215" s="17"/>
      <c r="Q3215" s="17"/>
      <c r="R3215" s="18"/>
      <c r="S3215" s="20"/>
    </row>
    <row r="3216" spans="1:19" x14ac:dyDescent="0.35">
      <c r="A3216" s="81"/>
      <c r="B3216" s="17"/>
      <c r="C3216" s="17"/>
      <c r="D3216" s="17"/>
      <c r="E3216" s="17"/>
      <c r="F3216" s="17"/>
      <c r="G3216" s="17"/>
      <c r="H3216" s="17"/>
      <c r="I3216" s="17"/>
      <c r="J3216" s="17"/>
      <c r="K3216" s="17"/>
      <c r="L3216" s="17"/>
      <c r="M3216" s="17"/>
      <c r="N3216" s="17"/>
      <c r="O3216" s="17"/>
      <c r="P3216" s="17"/>
      <c r="Q3216" s="17"/>
      <c r="R3216" s="18"/>
      <c r="S3216" s="20"/>
    </row>
    <row r="3217" spans="1:19" x14ac:dyDescent="0.35">
      <c r="A3217" s="81"/>
      <c r="B3217" s="17"/>
      <c r="C3217" s="17"/>
      <c r="D3217" s="17"/>
      <c r="E3217" s="17"/>
      <c r="F3217" s="17"/>
      <c r="G3217" s="17"/>
      <c r="H3217" s="17"/>
      <c r="I3217" s="17"/>
      <c r="J3217" s="17"/>
      <c r="K3217" s="17"/>
      <c r="L3217" s="17"/>
      <c r="M3217" s="17"/>
      <c r="N3217" s="17"/>
      <c r="O3217" s="17"/>
      <c r="P3217" s="17"/>
      <c r="Q3217" s="17"/>
      <c r="R3217" s="18"/>
      <c r="S3217" s="20"/>
    </row>
    <row r="3218" spans="1:19" x14ac:dyDescent="0.35">
      <c r="A3218" s="82"/>
      <c r="B3218" s="19"/>
      <c r="C3218" s="19"/>
      <c r="D3218" s="19"/>
      <c r="E3218" s="19"/>
      <c r="F3218" s="19"/>
      <c r="G3218" s="19"/>
      <c r="H3218" s="19"/>
      <c r="I3218" s="19"/>
      <c r="J3218" s="19"/>
      <c r="K3218" s="19"/>
      <c r="L3218" s="19"/>
      <c r="M3218" s="19"/>
      <c r="N3218" s="19"/>
      <c r="O3218" s="19"/>
      <c r="P3218" s="19"/>
      <c r="Q3218" s="19"/>
      <c r="R3218" s="20"/>
      <c r="S3218" s="20"/>
    </row>
    <row r="3219" spans="1:19" x14ac:dyDescent="0.35">
      <c r="A3219" s="81"/>
      <c r="B3219" s="17"/>
      <c r="C3219" s="17"/>
      <c r="D3219" s="17"/>
      <c r="E3219" s="17"/>
      <c r="F3219" s="17"/>
      <c r="G3219" s="17"/>
      <c r="H3219" s="17"/>
      <c r="I3219" s="17"/>
      <c r="J3219" s="17"/>
      <c r="K3219" s="17"/>
      <c r="L3219" s="17"/>
      <c r="M3219" s="17"/>
      <c r="N3219" s="17"/>
      <c r="O3219" s="17"/>
      <c r="P3219" s="17"/>
      <c r="Q3219" s="17"/>
      <c r="R3219" s="18"/>
      <c r="S3219" s="20"/>
    </row>
    <row r="3220" spans="1:19" x14ac:dyDescent="0.35">
      <c r="A3220" s="81"/>
      <c r="B3220" s="17"/>
      <c r="C3220" s="17"/>
      <c r="D3220" s="17"/>
      <c r="E3220" s="17"/>
      <c r="F3220" s="17"/>
      <c r="G3220" s="17"/>
      <c r="H3220" s="17"/>
      <c r="I3220" s="17"/>
      <c r="J3220" s="17"/>
      <c r="K3220" s="17"/>
      <c r="L3220" s="19"/>
      <c r="M3220" s="19"/>
      <c r="N3220" s="19"/>
      <c r="O3220" s="19"/>
      <c r="P3220" s="17"/>
      <c r="Q3220" s="17"/>
      <c r="R3220" s="18"/>
      <c r="S3220" s="20"/>
    </row>
    <row r="3221" spans="1:19" x14ac:dyDescent="0.35">
      <c r="A3221" s="81"/>
      <c r="B3221" s="17"/>
      <c r="C3221" s="17"/>
      <c r="D3221" s="17"/>
      <c r="E3221" s="17"/>
      <c r="F3221" s="17"/>
      <c r="G3221" s="17"/>
      <c r="H3221" s="17"/>
      <c r="I3221" s="17"/>
      <c r="J3221" s="17"/>
      <c r="K3221" s="17"/>
      <c r="L3221" s="17"/>
      <c r="M3221" s="17"/>
      <c r="N3221" s="17"/>
      <c r="O3221" s="17"/>
      <c r="P3221" s="17"/>
      <c r="Q3221" s="17"/>
      <c r="R3221" s="18"/>
      <c r="S3221" s="20"/>
    </row>
    <row r="3222" spans="1:19" x14ac:dyDescent="0.35">
      <c r="A3222" s="81"/>
      <c r="B3222" s="17"/>
      <c r="C3222" s="17"/>
      <c r="D3222" s="17"/>
      <c r="E3222" s="17"/>
      <c r="F3222" s="17"/>
      <c r="G3222" s="17"/>
      <c r="H3222" s="17"/>
      <c r="I3222" s="17"/>
      <c r="J3222" s="17"/>
      <c r="K3222" s="17"/>
      <c r="L3222" s="17"/>
      <c r="M3222" s="17"/>
      <c r="N3222" s="17"/>
      <c r="O3222" s="17"/>
      <c r="P3222" s="17"/>
      <c r="Q3222" s="17"/>
      <c r="R3222" s="18"/>
      <c r="S3222" s="18"/>
    </row>
    <row r="3223" spans="1:19" x14ac:dyDescent="0.35">
      <c r="A3223" s="81"/>
      <c r="B3223" s="17"/>
      <c r="C3223" s="17"/>
      <c r="D3223" s="17"/>
      <c r="E3223" s="17"/>
      <c r="F3223" s="17"/>
      <c r="G3223" s="17"/>
      <c r="H3223" s="17"/>
      <c r="I3223" s="17"/>
      <c r="J3223" s="17"/>
      <c r="K3223" s="17"/>
      <c r="L3223" s="17"/>
      <c r="M3223" s="17"/>
      <c r="N3223" s="17"/>
      <c r="O3223" s="17"/>
      <c r="P3223" s="17"/>
      <c r="Q3223" s="17"/>
      <c r="R3223" s="18"/>
      <c r="S3223" s="20"/>
    </row>
    <row r="3224" spans="1:19" x14ac:dyDescent="0.35">
      <c r="A3224" s="82"/>
      <c r="B3224" s="19"/>
      <c r="C3224" s="19"/>
      <c r="D3224" s="19"/>
      <c r="E3224" s="19"/>
      <c r="F3224" s="19"/>
      <c r="G3224" s="19"/>
      <c r="H3224" s="19"/>
      <c r="I3224" s="19"/>
      <c r="J3224" s="19"/>
      <c r="K3224" s="19"/>
      <c r="L3224" s="19"/>
      <c r="M3224" s="19"/>
      <c r="N3224" s="19"/>
      <c r="O3224" s="19"/>
      <c r="P3224" s="19"/>
      <c r="Q3224" s="19"/>
      <c r="R3224" s="20"/>
      <c r="S3224" s="20"/>
    </row>
    <row r="3225" spans="1:19" x14ac:dyDescent="0.35">
      <c r="A3225" s="82"/>
      <c r="B3225" s="19"/>
      <c r="C3225" s="19"/>
      <c r="D3225" s="19"/>
      <c r="E3225" s="19"/>
      <c r="F3225" s="19"/>
      <c r="G3225" s="19"/>
      <c r="H3225" s="19"/>
      <c r="I3225" s="19"/>
      <c r="J3225" s="19"/>
      <c r="K3225" s="19"/>
      <c r="L3225" s="19"/>
      <c r="M3225" s="19"/>
      <c r="N3225" s="19"/>
      <c r="O3225" s="19"/>
      <c r="P3225" s="19"/>
      <c r="Q3225" s="19"/>
      <c r="R3225" s="20"/>
      <c r="S3225" s="20"/>
    </row>
    <row r="3226" spans="1:19" x14ac:dyDescent="0.35">
      <c r="A3226" s="82"/>
      <c r="B3226" s="19"/>
      <c r="C3226" s="19"/>
      <c r="D3226" s="19"/>
      <c r="E3226" s="19"/>
      <c r="F3226" s="19"/>
      <c r="G3226" s="19"/>
      <c r="H3226" s="19"/>
      <c r="I3226" s="19"/>
      <c r="J3226" s="19"/>
      <c r="K3226" s="19"/>
      <c r="L3226" s="19"/>
      <c r="M3226" s="19"/>
      <c r="N3226" s="19"/>
      <c r="O3226" s="19"/>
      <c r="P3226" s="19"/>
      <c r="Q3226" s="19"/>
      <c r="R3226" s="20"/>
      <c r="S3226" s="20"/>
    </row>
    <row r="3227" spans="1:19" x14ac:dyDescent="0.35">
      <c r="A3227" s="82"/>
      <c r="B3227" s="19"/>
      <c r="C3227" s="19"/>
      <c r="D3227" s="19"/>
      <c r="E3227" s="19"/>
      <c r="F3227" s="19"/>
      <c r="G3227" s="19"/>
      <c r="H3227" s="19"/>
      <c r="I3227" s="19"/>
      <c r="J3227" s="19"/>
      <c r="K3227" s="19"/>
      <c r="L3227" s="19"/>
      <c r="M3227" s="19"/>
      <c r="N3227" s="19"/>
      <c r="O3227" s="19"/>
      <c r="P3227" s="19"/>
      <c r="Q3227" s="19"/>
      <c r="R3227" s="20"/>
      <c r="S3227" s="20"/>
    </row>
    <row r="3228" spans="1:19" x14ac:dyDescent="0.35">
      <c r="A3228" s="82"/>
      <c r="B3228" s="19"/>
      <c r="C3228" s="19"/>
      <c r="D3228" s="19"/>
      <c r="E3228" s="19"/>
      <c r="F3228" s="19"/>
      <c r="G3228" s="19"/>
      <c r="H3228" s="19"/>
      <c r="I3228" s="19"/>
      <c r="J3228" s="19"/>
      <c r="K3228" s="19"/>
      <c r="L3228" s="19"/>
      <c r="M3228" s="19"/>
      <c r="N3228" s="19"/>
      <c r="O3228" s="19"/>
      <c r="P3228" s="19"/>
      <c r="Q3228" s="19"/>
      <c r="R3228" s="20"/>
      <c r="S3228" s="20"/>
    </row>
    <row r="3229" spans="1:19" x14ac:dyDescent="0.35">
      <c r="A3229" s="81"/>
      <c r="B3229" s="17"/>
      <c r="C3229" s="17"/>
      <c r="D3229" s="17"/>
      <c r="E3229" s="17"/>
      <c r="F3229" s="17"/>
      <c r="G3229" s="17"/>
      <c r="H3229" s="17"/>
      <c r="I3229" s="17"/>
      <c r="J3229" s="17"/>
      <c r="K3229" s="17"/>
      <c r="L3229" s="17"/>
      <c r="M3229" s="17"/>
      <c r="N3229" s="17"/>
      <c r="O3229" s="17"/>
      <c r="P3229" s="17"/>
      <c r="Q3229" s="17"/>
      <c r="R3229" s="18"/>
      <c r="S3229" s="20"/>
    </row>
    <row r="3230" spans="1:19" x14ac:dyDescent="0.35">
      <c r="A3230" s="82"/>
      <c r="B3230" s="19"/>
      <c r="C3230" s="19"/>
      <c r="D3230" s="19"/>
      <c r="E3230" s="19"/>
      <c r="F3230" s="19"/>
      <c r="G3230" s="19"/>
      <c r="H3230" s="19"/>
      <c r="I3230" s="19"/>
      <c r="J3230" s="19"/>
      <c r="K3230" s="19"/>
      <c r="L3230" s="19"/>
      <c r="M3230" s="19"/>
      <c r="N3230" s="19"/>
      <c r="O3230" s="19"/>
      <c r="P3230" s="19"/>
      <c r="Q3230" s="19"/>
      <c r="R3230" s="20"/>
      <c r="S3230" s="20"/>
    </row>
    <row r="3231" spans="1:19" x14ac:dyDescent="0.35">
      <c r="A3231" s="81"/>
      <c r="B3231" s="17"/>
      <c r="C3231" s="17"/>
      <c r="D3231" s="17"/>
      <c r="E3231" s="17"/>
      <c r="F3231" s="17"/>
      <c r="G3231" s="17"/>
      <c r="H3231" s="17"/>
      <c r="I3231" s="17"/>
      <c r="J3231" s="17"/>
      <c r="K3231" s="17"/>
      <c r="L3231" s="17"/>
      <c r="M3231" s="17"/>
      <c r="N3231" s="17"/>
      <c r="O3231" s="17"/>
      <c r="P3231" s="17"/>
      <c r="Q3231" s="17"/>
      <c r="R3231" s="18"/>
      <c r="S3231" s="18"/>
    </row>
    <row r="3232" spans="1:19" x14ac:dyDescent="0.35">
      <c r="A3232" s="81"/>
      <c r="B3232" s="17"/>
      <c r="C3232" s="17"/>
      <c r="D3232" s="17"/>
      <c r="E3232" s="17"/>
      <c r="F3232" s="17"/>
      <c r="G3232" s="17"/>
      <c r="H3232" s="17"/>
      <c r="I3232" s="17"/>
      <c r="J3232" s="17"/>
      <c r="K3232" s="17"/>
      <c r="L3232" s="17"/>
      <c r="M3232" s="17"/>
      <c r="N3232" s="17"/>
      <c r="O3232" s="17"/>
      <c r="P3232" s="17"/>
      <c r="Q3232" s="17"/>
      <c r="R3232" s="18"/>
      <c r="S3232" s="20"/>
    </row>
    <row r="3233" spans="1:19" x14ac:dyDescent="0.35">
      <c r="A3233" s="82"/>
      <c r="B3233" s="19"/>
      <c r="C3233" s="19"/>
      <c r="D3233" s="19"/>
      <c r="E3233" s="19"/>
      <c r="F3233" s="19"/>
      <c r="G3233" s="19"/>
      <c r="H3233" s="19"/>
      <c r="I3233" s="19"/>
      <c r="J3233" s="19"/>
      <c r="K3233" s="19"/>
      <c r="L3233" s="19"/>
      <c r="M3233" s="19"/>
      <c r="N3233" s="19"/>
      <c r="O3233" s="19"/>
      <c r="P3233" s="19"/>
      <c r="Q3233" s="19"/>
      <c r="R3233" s="20"/>
      <c r="S3233" s="18"/>
    </row>
    <row r="3234" spans="1:19" x14ac:dyDescent="0.35">
      <c r="A3234" s="81"/>
      <c r="B3234" s="17"/>
      <c r="C3234" s="17"/>
      <c r="D3234" s="17"/>
      <c r="E3234" s="17"/>
      <c r="F3234" s="17"/>
      <c r="G3234" s="17"/>
      <c r="H3234" s="17"/>
      <c r="I3234" s="17"/>
      <c r="J3234" s="17"/>
      <c r="K3234" s="17"/>
      <c r="L3234" s="17"/>
      <c r="M3234" s="17"/>
      <c r="N3234" s="17"/>
      <c r="O3234" s="17"/>
      <c r="P3234" s="17"/>
      <c r="Q3234" s="17"/>
      <c r="R3234" s="18"/>
      <c r="S3234" s="18"/>
    </row>
    <row r="3235" spans="1:19" x14ac:dyDescent="0.35">
      <c r="A3235" s="82"/>
      <c r="B3235" s="19"/>
      <c r="C3235" s="19"/>
      <c r="D3235" s="19"/>
      <c r="E3235" s="19"/>
      <c r="F3235" s="19"/>
      <c r="G3235" s="19"/>
      <c r="H3235" s="19"/>
      <c r="I3235" s="19"/>
      <c r="J3235" s="19"/>
      <c r="K3235" s="19"/>
      <c r="L3235" s="19"/>
      <c r="M3235" s="19"/>
      <c r="N3235" s="19"/>
      <c r="O3235" s="19"/>
      <c r="P3235" s="19"/>
      <c r="Q3235" s="19"/>
      <c r="R3235" s="20"/>
      <c r="S3235" s="20"/>
    </row>
    <row r="3236" spans="1:19" x14ac:dyDescent="0.35">
      <c r="A3236" s="82"/>
      <c r="B3236" s="19"/>
      <c r="C3236" s="19"/>
      <c r="D3236" s="19"/>
      <c r="E3236" s="19"/>
      <c r="F3236" s="19"/>
      <c r="G3236" s="19"/>
      <c r="H3236" s="19"/>
      <c r="I3236" s="19"/>
      <c r="J3236" s="19"/>
      <c r="K3236" s="19"/>
      <c r="L3236" s="19"/>
      <c r="M3236" s="19"/>
      <c r="N3236" s="19"/>
      <c r="O3236" s="19"/>
      <c r="P3236" s="19"/>
      <c r="Q3236" s="19"/>
      <c r="R3236" s="20"/>
      <c r="S3236" s="20"/>
    </row>
    <row r="3237" spans="1:19" x14ac:dyDescent="0.35">
      <c r="A3237" s="81"/>
      <c r="B3237" s="17"/>
      <c r="C3237" s="17"/>
      <c r="D3237" s="17"/>
      <c r="E3237" s="17"/>
      <c r="F3237" s="17"/>
      <c r="G3237" s="17"/>
      <c r="H3237" s="17"/>
      <c r="I3237" s="17"/>
      <c r="J3237" s="17"/>
      <c r="K3237" s="17"/>
      <c r="L3237" s="17"/>
      <c r="M3237" s="17"/>
      <c r="N3237" s="17"/>
      <c r="O3237" s="17"/>
      <c r="P3237" s="17"/>
      <c r="Q3237" s="17"/>
      <c r="R3237" s="18"/>
      <c r="S3237" s="20"/>
    </row>
    <row r="3238" spans="1:19" x14ac:dyDescent="0.35">
      <c r="A3238" s="82"/>
      <c r="B3238" s="19"/>
      <c r="C3238" s="19"/>
      <c r="D3238" s="19"/>
      <c r="E3238" s="19"/>
      <c r="F3238" s="19"/>
      <c r="G3238" s="19"/>
      <c r="H3238" s="19"/>
      <c r="I3238" s="19"/>
      <c r="J3238" s="19"/>
      <c r="K3238" s="19"/>
      <c r="L3238" s="19"/>
      <c r="M3238" s="19"/>
      <c r="N3238" s="19"/>
      <c r="O3238" s="19"/>
      <c r="P3238" s="19"/>
      <c r="Q3238" s="19"/>
      <c r="R3238" s="20"/>
      <c r="S3238" s="20"/>
    </row>
    <row r="3239" spans="1:19" x14ac:dyDescent="0.35">
      <c r="A3239" s="82"/>
      <c r="B3239" s="19"/>
      <c r="C3239" s="19"/>
      <c r="D3239" s="19"/>
      <c r="E3239" s="19"/>
      <c r="F3239" s="19"/>
      <c r="G3239" s="19"/>
      <c r="H3239" s="19"/>
      <c r="I3239" s="19"/>
      <c r="J3239" s="19"/>
      <c r="K3239" s="19"/>
      <c r="L3239" s="19"/>
      <c r="M3239" s="19"/>
      <c r="N3239" s="19"/>
      <c r="O3239" s="19"/>
      <c r="P3239" s="19"/>
      <c r="Q3239" s="19"/>
      <c r="R3239" s="20"/>
      <c r="S3239" s="20"/>
    </row>
    <row r="3240" spans="1:19" x14ac:dyDescent="0.35">
      <c r="A3240" s="81"/>
      <c r="B3240" s="17"/>
      <c r="C3240" s="17"/>
      <c r="D3240" s="17"/>
      <c r="E3240" s="17"/>
      <c r="F3240" s="17"/>
      <c r="G3240" s="17"/>
      <c r="H3240" s="17"/>
      <c r="I3240" s="17"/>
      <c r="J3240" s="17"/>
      <c r="K3240" s="17"/>
      <c r="L3240" s="19"/>
      <c r="M3240" s="19"/>
      <c r="N3240" s="19"/>
      <c r="O3240" s="17"/>
      <c r="P3240" s="17"/>
      <c r="Q3240" s="17"/>
      <c r="R3240" s="18"/>
      <c r="S3240" s="20"/>
    </row>
    <row r="3241" spans="1:19" x14ac:dyDescent="0.35">
      <c r="A3241" s="81"/>
      <c r="B3241" s="17"/>
      <c r="C3241" s="17"/>
      <c r="D3241" s="17"/>
      <c r="E3241" s="17"/>
      <c r="F3241" s="17"/>
      <c r="G3241" s="17"/>
      <c r="H3241" s="17"/>
      <c r="I3241" s="17"/>
      <c r="J3241" s="17"/>
      <c r="K3241" s="17"/>
      <c r="L3241" s="17"/>
      <c r="M3241" s="17"/>
      <c r="N3241" s="17"/>
      <c r="O3241" s="17"/>
      <c r="P3241" s="17"/>
      <c r="Q3241" s="17"/>
      <c r="R3241" s="18"/>
      <c r="S3241" s="20"/>
    </row>
    <row r="3242" spans="1:19" x14ac:dyDescent="0.35">
      <c r="A3242" s="82"/>
      <c r="B3242" s="19"/>
      <c r="C3242" s="19"/>
      <c r="D3242" s="19"/>
      <c r="E3242" s="19"/>
      <c r="F3242" s="19"/>
      <c r="G3242" s="19"/>
      <c r="H3242" s="19"/>
      <c r="I3242" s="19"/>
      <c r="J3242" s="19"/>
      <c r="K3242" s="19"/>
      <c r="L3242" s="19"/>
      <c r="M3242" s="19"/>
      <c r="N3242" s="19"/>
      <c r="O3242" s="19"/>
      <c r="P3242" s="19"/>
      <c r="Q3242" s="19"/>
      <c r="R3242" s="20"/>
      <c r="S3242" s="20"/>
    </row>
    <row r="3243" spans="1:19" x14ac:dyDescent="0.35">
      <c r="A3243" s="81"/>
      <c r="B3243" s="17"/>
      <c r="C3243" s="17"/>
      <c r="D3243" s="17"/>
      <c r="E3243" s="17"/>
      <c r="F3243" s="17"/>
      <c r="G3243" s="17"/>
      <c r="H3243" s="17"/>
      <c r="I3243" s="17"/>
      <c r="J3243" s="17"/>
      <c r="K3243" s="17"/>
      <c r="L3243" s="17"/>
      <c r="M3243" s="17"/>
      <c r="N3243" s="17"/>
      <c r="O3243" s="17"/>
      <c r="P3243" s="17"/>
      <c r="Q3243" s="17"/>
      <c r="R3243" s="18"/>
      <c r="S3243" s="20"/>
    </row>
    <row r="3244" spans="1:19" x14ac:dyDescent="0.35">
      <c r="A3244" s="81"/>
      <c r="B3244" s="17"/>
      <c r="C3244" s="17"/>
      <c r="D3244" s="17"/>
      <c r="E3244" s="17"/>
      <c r="F3244" s="17"/>
      <c r="G3244" s="17"/>
      <c r="H3244" s="17"/>
      <c r="I3244" s="17"/>
      <c r="J3244" s="17"/>
      <c r="K3244" s="17"/>
      <c r="L3244" s="17"/>
      <c r="M3244" s="17"/>
      <c r="N3244" s="17"/>
      <c r="O3244" s="17"/>
      <c r="P3244" s="17"/>
      <c r="Q3244" s="17"/>
      <c r="R3244" s="20"/>
      <c r="S3244" s="18"/>
    </row>
    <row r="3245" spans="1:19" x14ac:dyDescent="0.35">
      <c r="A3245" s="82"/>
      <c r="B3245" s="19"/>
      <c r="C3245" s="19"/>
      <c r="D3245" s="19"/>
      <c r="E3245" s="19"/>
      <c r="F3245" s="19"/>
      <c r="G3245" s="19"/>
      <c r="H3245" s="19"/>
      <c r="I3245" s="19"/>
      <c r="J3245" s="19"/>
      <c r="K3245" s="19"/>
      <c r="L3245" s="19"/>
      <c r="M3245" s="19"/>
      <c r="N3245" s="19"/>
      <c r="O3245" s="19"/>
      <c r="P3245" s="19"/>
      <c r="Q3245" s="19"/>
      <c r="R3245" s="20"/>
      <c r="S3245" s="20"/>
    </row>
    <row r="3246" spans="1:19" x14ac:dyDescent="0.35">
      <c r="A3246" s="82"/>
      <c r="B3246" s="19"/>
      <c r="C3246" s="19"/>
      <c r="D3246" s="19"/>
      <c r="E3246" s="19"/>
      <c r="F3246" s="19"/>
      <c r="G3246" s="19"/>
      <c r="H3246" s="19"/>
      <c r="I3246" s="19"/>
      <c r="J3246" s="19"/>
      <c r="K3246" s="19"/>
      <c r="L3246" s="19"/>
      <c r="M3246" s="19"/>
      <c r="N3246" s="19"/>
      <c r="O3246" s="19"/>
      <c r="P3246" s="19"/>
      <c r="Q3246" s="19"/>
      <c r="R3246" s="20"/>
      <c r="S3246" s="20"/>
    </row>
    <row r="3247" spans="1:19" x14ac:dyDescent="0.35">
      <c r="A3247" s="82"/>
      <c r="B3247" s="19"/>
      <c r="C3247" s="19"/>
      <c r="D3247" s="19"/>
      <c r="E3247" s="19"/>
      <c r="F3247" s="19"/>
      <c r="G3247" s="19"/>
      <c r="H3247" s="19"/>
      <c r="I3247" s="19"/>
      <c r="J3247" s="19"/>
      <c r="K3247" s="19"/>
      <c r="L3247" s="19"/>
      <c r="M3247" s="19"/>
      <c r="N3247" s="19"/>
      <c r="O3247" s="19"/>
      <c r="P3247" s="19"/>
      <c r="Q3247" s="19"/>
      <c r="R3247" s="20"/>
      <c r="S3247" s="20"/>
    </row>
    <row r="3248" spans="1:19" x14ac:dyDescent="0.35">
      <c r="A3248" s="82"/>
      <c r="B3248" s="19"/>
      <c r="C3248" s="19"/>
      <c r="D3248" s="19"/>
      <c r="E3248" s="19"/>
      <c r="F3248" s="19"/>
      <c r="G3248" s="19"/>
      <c r="H3248" s="19"/>
      <c r="I3248" s="19"/>
      <c r="J3248" s="19"/>
      <c r="K3248" s="19"/>
      <c r="L3248" s="19"/>
      <c r="M3248" s="19"/>
      <c r="N3248" s="19"/>
      <c r="O3248" s="19"/>
      <c r="P3248" s="19"/>
      <c r="Q3248" s="19"/>
      <c r="R3248" s="20"/>
      <c r="S3248" s="20"/>
    </row>
    <row r="3249" spans="1:19" x14ac:dyDescent="0.35">
      <c r="A3249" s="82"/>
      <c r="B3249" s="19"/>
      <c r="C3249" s="19"/>
      <c r="D3249" s="19"/>
      <c r="E3249" s="19"/>
      <c r="F3249" s="19"/>
      <c r="G3249" s="19"/>
      <c r="H3249" s="19"/>
      <c r="I3249" s="19"/>
      <c r="J3249" s="19"/>
      <c r="K3249" s="19"/>
      <c r="L3249" s="19"/>
      <c r="M3249" s="19"/>
      <c r="N3249" s="19"/>
      <c r="O3249" s="19"/>
      <c r="P3249" s="19"/>
      <c r="Q3249" s="19"/>
      <c r="R3249" s="20"/>
      <c r="S3249" s="20"/>
    </row>
    <row r="3250" spans="1:19" x14ac:dyDescent="0.35">
      <c r="A3250" s="82"/>
      <c r="B3250" s="19"/>
      <c r="C3250" s="19"/>
      <c r="D3250" s="19"/>
      <c r="E3250" s="19"/>
      <c r="F3250" s="19"/>
      <c r="G3250" s="19"/>
      <c r="H3250" s="19"/>
      <c r="I3250" s="19"/>
      <c r="J3250" s="19"/>
      <c r="K3250" s="19"/>
      <c r="L3250" s="19"/>
      <c r="M3250" s="19"/>
      <c r="N3250" s="19"/>
      <c r="O3250" s="19"/>
      <c r="P3250" s="19"/>
      <c r="Q3250" s="19"/>
      <c r="R3250" s="20"/>
      <c r="S3250" s="20"/>
    </row>
    <row r="3251" spans="1:19" x14ac:dyDescent="0.35">
      <c r="A3251" s="81"/>
      <c r="B3251" s="17"/>
      <c r="C3251" s="17"/>
      <c r="D3251" s="17"/>
      <c r="E3251" s="17"/>
      <c r="F3251" s="17"/>
      <c r="G3251" s="17"/>
      <c r="H3251" s="17"/>
      <c r="I3251" s="17"/>
      <c r="J3251" s="17"/>
      <c r="K3251" s="17"/>
      <c r="L3251" s="17"/>
      <c r="M3251" s="17"/>
      <c r="N3251" s="17"/>
      <c r="O3251" s="17"/>
      <c r="P3251" s="17"/>
      <c r="Q3251" s="17"/>
      <c r="R3251" s="18"/>
      <c r="S3251" s="18"/>
    </row>
    <row r="3252" spans="1:19" x14ac:dyDescent="0.35">
      <c r="A3252" s="82"/>
      <c r="B3252" s="19"/>
      <c r="C3252" s="19"/>
      <c r="D3252" s="19"/>
      <c r="E3252" s="19"/>
      <c r="F3252" s="19"/>
      <c r="G3252" s="19"/>
      <c r="H3252" s="19"/>
      <c r="I3252" s="19"/>
      <c r="J3252" s="19"/>
      <c r="K3252" s="19"/>
      <c r="L3252" s="19"/>
      <c r="M3252" s="19"/>
      <c r="N3252" s="19"/>
      <c r="O3252" s="19"/>
      <c r="P3252" s="19"/>
      <c r="Q3252" s="19"/>
      <c r="R3252" s="20"/>
      <c r="S3252" s="18"/>
    </row>
    <row r="3253" spans="1:19" x14ac:dyDescent="0.35">
      <c r="A3253" s="82"/>
      <c r="B3253" s="19"/>
      <c r="C3253" s="19"/>
      <c r="D3253" s="19"/>
      <c r="E3253" s="19"/>
      <c r="F3253" s="19"/>
      <c r="G3253" s="19"/>
      <c r="H3253" s="19"/>
      <c r="I3253" s="19"/>
      <c r="J3253" s="19"/>
      <c r="K3253" s="19"/>
      <c r="L3253" s="19"/>
      <c r="M3253" s="19"/>
      <c r="N3253" s="19"/>
      <c r="O3253" s="19"/>
      <c r="P3253" s="19"/>
      <c r="Q3253" s="19"/>
      <c r="R3253" s="20"/>
      <c r="S3253" s="20"/>
    </row>
    <row r="3254" spans="1:19" x14ac:dyDescent="0.35">
      <c r="A3254" s="81"/>
      <c r="B3254" s="17"/>
      <c r="C3254" s="17"/>
      <c r="D3254" s="17"/>
      <c r="E3254" s="17"/>
      <c r="F3254" s="17"/>
      <c r="G3254" s="17"/>
      <c r="H3254" s="17"/>
      <c r="I3254" s="17"/>
      <c r="J3254" s="17"/>
      <c r="K3254" s="17"/>
      <c r="L3254" s="17"/>
      <c r="M3254" s="17"/>
      <c r="N3254" s="17"/>
      <c r="O3254" s="17"/>
      <c r="P3254" s="17"/>
      <c r="Q3254" s="17"/>
      <c r="R3254" s="18"/>
      <c r="S3254" s="20"/>
    </row>
    <row r="3255" spans="1:19" x14ac:dyDescent="0.35">
      <c r="A3255" s="81"/>
      <c r="B3255" s="17"/>
      <c r="C3255" s="17"/>
      <c r="D3255" s="17"/>
      <c r="E3255" s="17"/>
      <c r="F3255" s="17"/>
      <c r="G3255" s="17"/>
      <c r="H3255" s="17"/>
      <c r="I3255" s="17"/>
      <c r="J3255" s="17"/>
      <c r="K3255" s="17"/>
      <c r="L3255" s="17"/>
      <c r="M3255" s="17"/>
      <c r="N3255" s="17"/>
      <c r="O3255" s="17"/>
      <c r="P3255" s="17"/>
      <c r="Q3255" s="17"/>
      <c r="R3255" s="18"/>
      <c r="S3255" s="30"/>
    </row>
    <row r="3256" spans="1:19" x14ac:dyDescent="0.35">
      <c r="A3256" s="82"/>
      <c r="B3256" s="19"/>
      <c r="C3256" s="19"/>
      <c r="D3256" s="19"/>
      <c r="E3256" s="19"/>
      <c r="F3256" s="19"/>
      <c r="G3256" s="19"/>
      <c r="H3256" s="19"/>
      <c r="I3256" s="19"/>
      <c r="J3256" s="19"/>
      <c r="K3256" s="19"/>
      <c r="L3256" s="19"/>
      <c r="M3256" s="19"/>
      <c r="N3256" s="19"/>
      <c r="O3256" s="19"/>
      <c r="P3256" s="19"/>
      <c r="Q3256" s="19"/>
      <c r="R3256" s="20"/>
    </row>
    <row r="3257" spans="1:19" x14ac:dyDescent="0.35">
      <c r="A3257" s="82"/>
      <c r="B3257" s="19"/>
      <c r="C3257" s="19"/>
      <c r="D3257" s="19"/>
      <c r="E3257" s="19"/>
      <c r="F3257" s="19"/>
      <c r="G3257" s="19"/>
      <c r="H3257" s="19"/>
      <c r="I3257" s="19"/>
      <c r="J3257" s="19"/>
      <c r="K3257" s="19"/>
      <c r="L3257" s="19"/>
      <c r="M3257" s="19"/>
      <c r="N3257" s="19"/>
      <c r="O3257" s="19"/>
      <c r="P3257" s="19"/>
      <c r="Q3257" s="19"/>
      <c r="R3257" s="20"/>
    </row>
    <row r="3258" spans="1:19" x14ac:dyDescent="0.35">
      <c r="A3258" s="81"/>
      <c r="B3258" s="17"/>
      <c r="C3258" s="17"/>
      <c r="D3258" s="17"/>
      <c r="E3258" s="17"/>
      <c r="F3258" s="17"/>
      <c r="G3258" s="17"/>
      <c r="H3258" s="17"/>
      <c r="I3258" s="17"/>
      <c r="J3258" s="17"/>
      <c r="K3258" s="17"/>
      <c r="L3258" s="19"/>
      <c r="M3258" s="19"/>
      <c r="N3258" s="19"/>
      <c r="O3258" s="17"/>
      <c r="P3258" s="17"/>
      <c r="Q3258" s="17"/>
      <c r="R3258" s="18"/>
    </row>
    <row r="3259" spans="1:19" x14ac:dyDescent="0.35">
      <c r="A3259" s="81"/>
      <c r="B3259" s="17"/>
      <c r="C3259" s="17"/>
      <c r="D3259" s="17"/>
      <c r="E3259" s="17"/>
      <c r="F3259" s="17"/>
      <c r="G3259" s="17"/>
      <c r="H3259" s="17"/>
      <c r="I3259" s="17"/>
      <c r="J3259" s="17"/>
      <c r="K3259" s="17"/>
      <c r="L3259" s="17"/>
      <c r="M3259" s="17"/>
      <c r="N3259" s="17"/>
      <c r="O3259" s="17"/>
      <c r="P3259" s="17"/>
      <c r="Q3259" s="17"/>
      <c r="R3259" s="18"/>
    </row>
    <row r="3260" spans="1:19" x14ac:dyDescent="0.35">
      <c r="A3260" s="82"/>
      <c r="B3260" s="19"/>
      <c r="C3260" s="19"/>
      <c r="D3260" s="19"/>
      <c r="E3260" s="19"/>
      <c r="F3260" s="19"/>
      <c r="G3260" s="19"/>
      <c r="H3260" s="19"/>
      <c r="I3260" s="19"/>
      <c r="J3260" s="19"/>
      <c r="K3260" s="19"/>
      <c r="L3260" s="19"/>
      <c r="M3260" s="19"/>
      <c r="N3260" s="19"/>
      <c r="O3260" s="19"/>
      <c r="P3260" s="19"/>
      <c r="Q3260" s="19"/>
      <c r="R3260" s="20"/>
    </row>
    <row r="3261" spans="1:19" x14ac:dyDescent="0.35">
      <c r="A3261" s="82"/>
      <c r="B3261" s="19"/>
      <c r="C3261" s="19"/>
      <c r="D3261" s="19"/>
      <c r="E3261" s="19"/>
      <c r="F3261" s="19"/>
      <c r="G3261" s="19"/>
      <c r="H3261" s="19"/>
      <c r="I3261" s="19"/>
      <c r="J3261" s="19"/>
      <c r="K3261" s="19"/>
      <c r="L3261" s="19"/>
      <c r="M3261" s="19"/>
      <c r="N3261" s="19"/>
      <c r="O3261" s="19"/>
      <c r="P3261" s="19"/>
      <c r="Q3261" s="19"/>
      <c r="R3261" s="20"/>
    </row>
    <row r="3262" spans="1:19" x14ac:dyDescent="0.35">
      <c r="A3262" s="82"/>
      <c r="B3262" s="19"/>
      <c r="C3262" s="19"/>
      <c r="D3262" s="19"/>
      <c r="E3262" s="19"/>
      <c r="F3262" s="19"/>
      <c r="G3262" s="19"/>
      <c r="H3262" s="19"/>
      <c r="I3262" s="19"/>
      <c r="J3262" s="19"/>
      <c r="K3262" s="19"/>
      <c r="L3262" s="19"/>
      <c r="M3262" s="19"/>
      <c r="N3262" s="19"/>
      <c r="O3262" s="19"/>
      <c r="P3262" s="19"/>
      <c r="Q3262" s="19"/>
      <c r="R3262" s="20"/>
    </row>
    <row r="3263" spans="1:19" x14ac:dyDescent="0.35">
      <c r="A3263" s="82"/>
      <c r="B3263" s="19"/>
      <c r="C3263" s="19"/>
      <c r="D3263" s="19"/>
      <c r="E3263" s="19"/>
      <c r="F3263" s="19"/>
      <c r="G3263" s="19"/>
      <c r="H3263" s="19"/>
      <c r="I3263" s="19"/>
      <c r="J3263" s="19"/>
      <c r="K3263" s="19"/>
      <c r="L3263" s="19"/>
      <c r="M3263" s="19"/>
      <c r="N3263" s="19"/>
      <c r="O3263" s="19"/>
      <c r="P3263" s="19"/>
      <c r="Q3263" s="19"/>
      <c r="R3263" s="20"/>
    </row>
    <row r="3264" spans="1:19" x14ac:dyDescent="0.35">
      <c r="A3264" s="82"/>
      <c r="B3264" s="19"/>
      <c r="C3264" s="19"/>
      <c r="D3264" s="19"/>
      <c r="E3264" s="19"/>
      <c r="F3264" s="19"/>
      <c r="G3264" s="19"/>
      <c r="H3264" s="19"/>
      <c r="I3264" s="19"/>
      <c r="J3264" s="19"/>
      <c r="K3264" s="19"/>
      <c r="L3264" s="19"/>
      <c r="M3264" s="19"/>
      <c r="N3264" s="19"/>
      <c r="O3264" s="19"/>
      <c r="P3264" s="19"/>
      <c r="Q3264" s="19"/>
      <c r="R3264" s="20"/>
    </row>
    <row r="3265" spans="1:19" x14ac:dyDescent="0.35">
      <c r="A3265" s="82"/>
      <c r="B3265" s="19"/>
      <c r="C3265" s="19"/>
      <c r="D3265" s="19"/>
      <c r="E3265" s="19"/>
      <c r="F3265" s="19"/>
      <c r="G3265" s="19"/>
      <c r="H3265" s="19"/>
      <c r="I3265" s="19"/>
      <c r="J3265" s="19"/>
      <c r="K3265" s="19"/>
      <c r="L3265" s="19"/>
      <c r="M3265" s="19"/>
      <c r="N3265" s="19"/>
      <c r="O3265" s="19"/>
      <c r="P3265" s="19"/>
      <c r="Q3265" s="19"/>
      <c r="R3265" s="20"/>
    </row>
    <row r="3266" spans="1:19" x14ac:dyDescent="0.35">
      <c r="A3266" s="82"/>
      <c r="B3266" s="19"/>
      <c r="C3266" s="19"/>
      <c r="D3266" s="19"/>
      <c r="E3266" s="19"/>
      <c r="F3266" s="19"/>
      <c r="G3266" s="19"/>
      <c r="H3266" s="19"/>
      <c r="I3266" s="19"/>
      <c r="J3266" s="19"/>
      <c r="K3266" s="19"/>
      <c r="L3266" s="19"/>
      <c r="M3266" s="19"/>
      <c r="N3266" s="19"/>
      <c r="O3266" s="19"/>
      <c r="P3266" s="19"/>
      <c r="Q3266" s="19"/>
      <c r="R3266" s="20"/>
      <c r="S3266" s="30"/>
    </row>
    <row r="3267" spans="1:19" x14ac:dyDescent="0.35">
      <c r="A3267" s="82"/>
      <c r="B3267" s="19"/>
      <c r="C3267" s="19"/>
      <c r="D3267" s="19"/>
      <c r="E3267" s="19"/>
      <c r="F3267" s="19"/>
      <c r="G3267" s="19"/>
      <c r="H3267" s="19"/>
      <c r="I3267" s="19"/>
      <c r="J3267" s="19"/>
      <c r="K3267" s="19"/>
      <c r="L3267" s="19"/>
      <c r="M3267" s="19"/>
      <c r="N3267" s="19"/>
      <c r="O3267" s="19"/>
      <c r="P3267" s="19"/>
      <c r="Q3267" s="19"/>
      <c r="R3267" s="20"/>
    </row>
    <row r="3268" spans="1:19" x14ac:dyDescent="0.35">
      <c r="A3268" s="82"/>
      <c r="B3268" s="19"/>
      <c r="C3268" s="19"/>
      <c r="D3268" s="19"/>
      <c r="E3268" s="19"/>
      <c r="F3268" s="19"/>
      <c r="G3268" s="19"/>
      <c r="H3268" s="19"/>
      <c r="I3268" s="19"/>
      <c r="J3268" s="19"/>
      <c r="K3268" s="19"/>
      <c r="L3268" s="19"/>
      <c r="M3268" s="19"/>
      <c r="N3268" s="19"/>
      <c r="O3268" s="19"/>
      <c r="P3268" s="19"/>
      <c r="Q3268" s="19"/>
      <c r="R3268" s="20"/>
    </row>
    <row r="3269" spans="1:19" x14ac:dyDescent="0.35">
      <c r="A3269" s="81"/>
      <c r="B3269" s="17"/>
      <c r="C3269" s="17"/>
      <c r="D3269" s="17"/>
      <c r="E3269" s="17"/>
      <c r="F3269" s="17"/>
      <c r="G3269" s="17"/>
      <c r="H3269" s="17"/>
      <c r="I3269" s="17"/>
      <c r="J3269" s="17"/>
      <c r="K3269" s="17"/>
      <c r="L3269" s="17"/>
      <c r="M3269" s="17"/>
      <c r="N3269" s="17"/>
      <c r="O3269" s="17"/>
      <c r="P3269" s="17"/>
      <c r="Q3269" s="17"/>
      <c r="R3269" s="18"/>
      <c r="S3269" s="30"/>
    </row>
    <row r="3270" spans="1:19" x14ac:dyDescent="0.35">
      <c r="A3270" s="81"/>
      <c r="B3270" s="17"/>
      <c r="C3270" s="17"/>
      <c r="D3270" s="17"/>
      <c r="E3270" s="17"/>
      <c r="F3270" s="17"/>
      <c r="G3270" s="17"/>
      <c r="H3270" s="17"/>
      <c r="I3270" s="17"/>
      <c r="J3270" s="17"/>
      <c r="K3270" s="17"/>
      <c r="L3270" s="17"/>
      <c r="M3270" s="17"/>
      <c r="N3270" s="17"/>
      <c r="O3270" s="17"/>
      <c r="P3270" s="17"/>
      <c r="Q3270" s="17"/>
      <c r="R3270" s="18"/>
    </row>
    <row r="3271" spans="1:19" x14ac:dyDescent="0.35">
      <c r="A3271" s="81"/>
      <c r="B3271" s="17"/>
      <c r="C3271" s="17"/>
      <c r="D3271" s="17"/>
      <c r="E3271" s="17"/>
      <c r="F3271" s="17"/>
      <c r="G3271" s="17"/>
      <c r="H3271" s="17"/>
      <c r="I3271" s="17"/>
      <c r="J3271" s="17"/>
      <c r="K3271" s="17"/>
      <c r="L3271" s="17"/>
      <c r="M3271" s="17"/>
      <c r="N3271" s="17"/>
      <c r="O3271" s="17"/>
      <c r="P3271" s="17"/>
      <c r="Q3271" s="17"/>
      <c r="R3271" s="18"/>
    </row>
    <row r="3272" spans="1:19" x14ac:dyDescent="0.35">
      <c r="A3272" s="82"/>
      <c r="B3272" s="19"/>
      <c r="C3272" s="19"/>
      <c r="D3272" s="19"/>
      <c r="E3272" s="19"/>
      <c r="F3272" s="19"/>
      <c r="G3272" s="19"/>
      <c r="H3272" s="19"/>
      <c r="I3272" s="19"/>
      <c r="J3272" s="19"/>
      <c r="K3272" s="19"/>
      <c r="L3272" s="19"/>
      <c r="M3272" s="19"/>
      <c r="N3272" s="19"/>
      <c r="O3272" s="19"/>
      <c r="P3272" s="19"/>
      <c r="Q3272" s="19"/>
      <c r="R3272" s="20"/>
    </row>
    <row r="3273" spans="1:19" x14ac:dyDescent="0.35">
      <c r="A3273" s="82"/>
      <c r="B3273" s="19"/>
      <c r="C3273" s="19"/>
      <c r="D3273" s="19"/>
      <c r="E3273" s="19"/>
      <c r="F3273" s="19"/>
      <c r="G3273" s="19"/>
      <c r="H3273" s="19"/>
      <c r="I3273" s="19"/>
      <c r="J3273" s="19"/>
      <c r="K3273" s="19"/>
      <c r="L3273" s="19"/>
      <c r="M3273" s="19"/>
      <c r="N3273" s="19"/>
      <c r="O3273" s="19"/>
      <c r="P3273" s="19"/>
      <c r="Q3273" s="19"/>
      <c r="R3273" s="20"/>
    </row>
    <row r="3274" spans="1:19" x14ac:dyDescent="0.35">
      <c r="A3274" s="82"/>
      <c r="B3274" s="19"/>
      <c r="C3274" s="19"/>
      <c r="D3274" s="19"/>
      <c r="E3274" s="19"/>
      <c r="F3274" s="19"/>
      <c r="G3274" s="19"/>
      <c r="H3274" s="19"/>
      <c r="I3274" s="19"/>
      <c r="J3274" s="19"/>
      <c r="K3274" s="19"/>
      <c r="L3274" s="19"/>
      <c r="M3274" s="19"/>
      <c r="N3274" s="19"/>
      <c r="O3274" s="19"/>
      <c r="P3274" s="19"/>
      <c r="Q3274" s="19"/>
      <c r="R3274" s="20"/>
    </row>
    <row r="3275" spans="1:19" x14ac:dyDescent="0.35">
      <c r="A3275" s="81"/>
      <c r="B3275" s="17"/>
      <c r="C3275" s="17"/>
      <c r="D3275" s="17"/>
      <c r="E3275" s="17"/>
      <c r="F3275" s="17"/>
      <c r="G3275" s="17"/>
      <c r="H3275" s="17"/>
      <c r="I3275" s="17"/>
      <c r="J3275" s="17"/>
      <c r="K3275" s="17"/>
      <c r="L3275" s="17"/>
      <c r="M3275" s="17"/>
      <c r="N3275" s="17"/>
      <c r="O3275" s="17"/>
      <c r="P3275" s="17"/>
      <c r="Q3275" s="17"/>
      <c r="R3275" s="18"/>
      <c r="S3275" s="30"/>
    </row>
    <row r="3276" spans="1:19" x14ac:dyDescent="0.35">
      <c r="A3276" s="82"/>
      <c r="B3276" s="19"/>
      <c r="C3276" s="19"/>
      <c r="D3276" s="19"/>
      <c r="E3276" s="19"/>
      <c r="F3276" s="19"/>
      <c r="G3276" s="19"/>
      <c r="H3276" s="19"/>
      <c r="I3276" s="19"/>
      <c r="J3276" s="19"/>
      <c r="K3276" s="19"/>
      <c r="L3276" s="19"/>
      <c r="M3276" s="19"/>
      <c r="N3276" s="19"/>
      <c r="O3276" s="19"/>
      <c r="P3276" s="19"/>
      <c r="Q3276" s="19"/>
      <c r="R3276" s="20"/>
    </row>
    <row r="3277" spans="1:19" x14ac:dyDescent="0.35">
      <c r="A3277" s="82"/>
      <c r="B3277" s="19"/>
      <c r="C3277" s="19"/>
      <c r="D3277" s="19"/>
      <c r="E3277" s="19"/>
      <c r="F3277" s="19"/>
      <c r="G3277" s="19"/>
      <c r="H3277" s="19"/>
      <c r="I3277" s="19"/>
      <c r="J3277" s="19"/>
      <c r="K3277" s="19"/>
      <c r="L3277" s="19"/>
      <c r="M3277" s="19"/>
      <c r="N3277" s="19"/>
      <c r="O3277" s="19"/>
      <c r="P3277" s="19"/>
      <c r="Q3277" s="19"/>
      <c r="R3277" s="20"/>
    </row>
    <row r="3278" spans="1:19" x14ac:dyDescent="0.35">
      <c r="A3278" s="81"/>
      <c r="B3278" s="17"/>
      <c r="C3278" s="17"/>
      <c r="D3278" s="17"/>
      <c r="E3278" s="17"/>
      <c r="F3278" s="17"/>
      <c r="G3278" s="17"/>
      <c r="H3278" s="17"/>
      <c r="I3278" s="17"/>
      <c r="J3278" s="17"/>
      <c r="K3278" s="17"/>
      <c r="L3278" s="17"/>
      <c r="M3278" s="17"/>
      <c r="N3278" s="17"/>
      <c r="O3278" s="17"/>
      <c r="P3278" s="17"/>
      <c r="Q3278" s="17"/>
      <c r="R3278" s="18"/>
      <c r="S3278" s="30"/>
    </row>
    <row r="3279" spans="1:19" x14ac:dyDescent="0.35">
      <c r="A3279" s="81"/>
      <c r="B3279" s="17"/>
      <c r="C3279" s="17"/>
      <c r="D3279" s="17"/>
      <c r="E3279" s="17"/>
      <c r="F3279" s="17"/>
      <c r="G3279" s="17"/>
      <c r="H3279" s="17"/>
      <c r="I3279" s="17"/>
      <c r="J3279" s="17"/>
      <c r="K3279" s="17"/>
      <c r="L3279" s="17"/>
      <c r="M3279" s="17"/>
      <c r="N3279" s="17"/>
      <c r="O3279" s="17"/>
      <c r="P3279" s="17"/>
      <c r="Q3279" s="17"/>
      <c r="R3279" s="18"/>
    </row>
    <row r="3280" spans="1:19" x14ac:dyDescent="0.35">
      <c r="A3280" s="81"/>
      <c r="B3280" s="17"/>
      <c r="C3280" s="17"/>
      <c r="D3280" s="17"/>
      <c r="E3280" s="17"/>
      <c r="F3280" s="17"/>
      <c r="G3280" s="17"/>
      <c r="H3280" s="17"/>
      <c r="I3280" s="17"/>
      <c r="J3280" s="17"/>
      <c r="K3280" s="17"/>
      <c r="L3280" s="17"/>
      <c r="M3280" s="17"/>
      <c r="N3280" s="17"/>
      <c r="O3280" s="17"/>
      <c r="P3280" s="17"/>
      <c r="Q3280" s="17"/>
      <c r="R3280" s="20"/>
      <c r="S3280" s="30"/>
    </row>
    <row r="3281" spans="1:19" x14ac:dyDescent="0.35">
      <c r="A3281" s="82"/>
      <c r="B3281" s="19"/>
      <c r="C3281" s="19"/>
      <c r="D3281" s="19"/>
      <c r="E3281" s="19"/>
      <c r="F3281" s="19"/>
      <c r="G3281" s="19"/>
      <c r="H3281" s="19"/>
      <c r="I3281" s="19"/>
      <c r="J3281" s="19"/>
      <c r="K3281" s="19"/>
      <c r="L3281" s="19"/>
      <c r="M3281" s="19"/>
      <c r="N3281" s="19"/>
      <c r="O3281" s="19"/>
      <c r="P3281" s="19"/>
      <c r="Q3281" s="19"/>
      <c r="R3281" s="20"/>
    </row>
    <row r="3282" spans="1:19" x14ac:dyDescent="0.35">
      <c r="A3282" s="82"/>
      <c r="B3282" s="19"/>
      <c r="C3282" s="19"/>
      <c r="D3282" s="19"/>
      <c r="E3282" s="19"/>
      <c r="F3282" s="19"/>
      <c r="G3282" s="19"/>
      <c r="H3282" s="19"/>
      <c r="I3282" s="19"/>
      <c r="J3282" s="19"/>
      <c r="K3282" s="19"/>
      <c r="L3282" s="19"/>
      <c r="M3282" s="19"/>
      <c r="N3282" s="19"/>
      <c r="O3282" s="19"/>
      <c r="P3282" s="19"/>
      <c r="Q3282" s="19"/>
      <c r="R3282" s="20"/>
    </row>
    <row r="3283" spans="1:19" x14ac:dyDescent="0.35">
      <c r="A3283" s="82"/>
      <c r="B3283" s="19"/>
      <c r="C3283" s="19"/>
      <c r="D3283" s="19"/>
      <c r="E3283" s="19"/>
      <c r="F3283" s="19"/>
      <c r="G3283" s="19"/>
      <c r="H3283" s="19"/>
      <c r="I3283" s="19"/>
      <c r="J3283" s="19"/>
      <c r="K3283" s="19"/>
      <c r="L3283" s="19"/>
      <c r="M3283" s="19"/>
      <c r="N3283" s="19"/>
      <c r="O3283" s="19"/>
      <c r="P3283" s="19"/>
      <c r="Q3283" s="19"/>
      <c r="R3283" s="20"/>
    </row>
    <row r="3284" spans="1:19" x14ac:dyDescent="0.35">
      <c r="A3284" s="82"/>
      <c r="B3284" s="19"/>
      <c r="C3284" s="19"/>
      <c r="D3284" s="19"/>
      <c r="E3284" s="19"/>
      <c r="F3284" s="19"/>
      <c r="G3284" s="19"/>
      <c r="H3284" s="19"/>
      <c r="I3284" s="19"/>
      <c r="J3284" s="19"/>
      <c r="K3284" s="19"/>
      <c r="L3284" s="19"/>
      <c r="M3284" s="19"/>
      <c r="N3284" s="19"/>
      <c r="O3284" s="19"/>
      <c r="P3284" s="19"/>
      <c r="Q3284" s="19"/>
      <c r="R3284" s="20"/>
    </row>
    <row r="3285" spans="1:19" x14ac:dyDescent="0.35">
      <c r="A3285" s="81"/>
      <c r="B3285" s="17"/>
      <c r="C3285" s="17"/>
      <c r="D3285" s="17"/>
      <c r="E3285" s="17"/>
      <c r="F3285" s="17"/>
      <c r="G3285" s="17"/>
      <c r="H3285" s="17"/>
      <c r="I3285" s="17"/>
      <c r="J3285" s="17"/>
      <c r="K3285" s="17"/>
      <c r="L3285" s="17"/>
      <c r="M3285" s="17"/>
      <c r="N3285" s="17"/>
      <c r="O3285" s="17"/>
      <c r="P3285" s="17"/>
      <c r="Q3285" s="17"/>
      <c r="R3285" s="18"/>
      <c r="S3285" s="30"/>
    </row>
    <row r="3286" spans="1:19" x14ac:dyDescent="0.35">
      <c r="A3286" s="82"/>
      <c r="B3286" s="19"/>
      <c r="C3286" s="19"/>
      <c r="D3286" s="19"/>
      <c r="E3286" s="19"/>
      <c r="F3286" s="19"/>
      <c r="G3286" s="19"/>
      <c r="H3286" s="19"/>
      <c r="I3286" s="19"/>
      <c r="J3286" s="19"/>
      <c r="K3286" s="19"/>
      <c r="L3286" s="19"/>
      <c r="M3286" s="19"/>
      <c r="N3286" s="19"/>
      <c r="O3286" s="19"/>
      <c r="P3286" s="19"/>
      <c r="Q3286" s="19"/>
      <c r="R3286" s="20"/>
    </row>
    <row r="3287" spans="1:19" x14ac:dyDescent="0.35">
      <c r="A3287" s="81"/>
      <c r="B3287" s="17"/>
      <c r="C3287" s="17"/>
      <c r="D3287" s="17"/>
      <c r="E3287" s="17"/>
      <c r="F3287" s="17"/>
      <c r="G3287" s="17"/>
      <c r="H3287" s="17"/>
      <c r="I3287" s="17"/>
      <c r="J3287" s="17"/>
      <c r="K3287" s="17"/>
      <c r="L3287" s="17"/>
      <c r="M3287" s="17"/>
      <c r="N3287" s="17"/>
      <c r="O3287" s="17"/>
      <c r="P3287" s="17"/>
      <c r="Q3287" s="17"/>
      <c r="R3287" s="18"/>
      <c r="S3287" s="30"/>
    </row>
    <row r="3288" spans="1:19" x14ac:dyDescent="0.35">
      <c r="A3288" s="82"/>
      <c r="B3288" s="19"/>
      <c r="C3288" s="19"/>
      <c r="D3288" s="19"/>
      <c r="E3288" s="19"/>
      <c r="F3288" s="19"/>
      <c r="G3288" s="19"/>
      <c r="H3288" s="19"/>
      <c r="I3288" s="19"/>
      <c r="J3288" s="19"/>
      <c r="K3288" s="19"/>
      <c r="L3288" s="19"/>
      <c r="M3288" s="19"/>
      <c r="N3288" s="19"/>
      <c r="O3288" s="19"/>
      <c r="P3288" s="19"/>
      <c r="Q3288" s="19"/>
      <c r="R3288" s="20"/>
      <c r="S3288" s="30"/>
    </row>
    <row r="3289" spans="1:19" x14ac:dyDescent="0.35">
      <c r="A3289" s="81"/>
      <c r="B3289" s="17"/>
      <c r="C3289" s="17"/>
      <c r="D3289" s="17"/>
      <c r="E3289" s="17"/>
      <c r="F3289" s="17"/>
      <c r="G3289" s="17"/>
      <c r="H3289" s="17"/>
      <c r="I3289" s="17"/>
      <c r="J3289" s="17"/>
      <c r="K3289" s="17"/>
      <c r="L3289" s="17"/>
      <c r="M3289" s="17"/>
      <c r="N3289" s="17"/>
      <c r="O3289" s="17"/>
      <c r="P3289" s="17"/>
      <c r="Q3289" s="17"/>
      <c r="R3289" s="18"/>
    </row>
    <row r="3290" spans="1:19" x14ac:dyDescent="0.35">
      <c r="A3290" s="82"/>
      <c r="B3290" s="19"/>
      <c r="C3290" s="19"/>
      <c r="D3290" s="19"/>
      <c r="E3290" s="19"/>
      <c r="F3290" s="19"/>
      <c r="G3290" s="19"/>
      <c r="H3290" s="19"/>
      <c r="I3290" s="19"/>
      <c r="J3290" s="19"/>
      <c r="K3290" s="19"/>
      <c r="L3290" s="19"/>
      <c r="M3290" s="19"/>
      <c r="N3290" s="19"/>
      <c r="O3290" s="19"/>
      <c r="P3290" s="19"/>
      <c r="Q3290" s="19"/>
      <c r="R3290" s="20"/>
    </row>
    <row r="3291" spans="1:19" x14ac:dyDescent="0.35">
      <c r="A3291" s="82"/>
      <c r="B3291" s="19"/>
      <c r="C3291" s="19"/>
      <c r="D3291" s="19"/>
      <c r="E3291" s="19"/>
      <c r="F3291" s="19"/>
      <c r="G3291" s="19"/>
      <c r="H3291" s="19"/>
      <c r="I3291" s="19"/>
      <c r="J3291" s="19"/>
      <c r="K3291" s="19"/>
      <c r="L3291" s="19"/>
      <c r="M3291" s="19"/>
      <c r="N3291" s="19"/>
      <c r="O3291" s="19"/>
      <c r="P3291" s="19"/>
      <c r="Q3291" s="19"/>
      <c r="R3291" s="20"/>
    </row>
    <row r="3292" spans="1:19" x14ac:dyDescent="0.35">
      <c r="A3292" s="82"/>
      <c r="B3292" s="19"/>
      <c r="C3292" s="19"/>
      <c r="D3292" s="19"/>
      <c r="E3292" s="19"/>
      <c r="F3292" s="19"/>
      <c r="G3292" s="19"/>
      <c r="H3292" s="19"/>
      <c r="I3292" s="19"/>
      <c r="J3292" s="19"/>
      <c r="K3292" s="19"/>
      <c r="L3292" s="19"/>
      <c r="M3292" s="19"/>
      <c r="N3292" s="19"/>
      <c r="O3292" s="19"/>
      <c r="P3292" s="19"/>
      <c r="Q3292" s="19"/>
      <c r="R3292" s="20"/>
    </row>
    <row r="3293" spans="1:19" x14ac:dyDescent="0.35">
      <c r="A3293" s="82"/>
      <c r="B3293" s="19"/>
      <c r="C3293" s="19"/>
      <c r="D3293" s="19"/>
      <c r="E3293" s="19"/>
      <c r="F3293" s="19"/>
      <c r="G3293" s="19"/>
      <c r="H3293" s="19"/>
      <c r="I3293" s="19"/>
      <c r="J3293" s="19"/>
      <c r="K3293" s="19"/>
      <c r="L3293" s="19"/>
      <c r="M3293" s="19"/>
      <c r="N3293" s="19"/>
      <c r="O3293" s="19"/>
      <c r="P3293" s="19"/>
      <c r="Q3293" s="19"/>
      <c r="R3293" s="20"/>
    </row>
    <row r="3294" spans="1:19" x14ac:dyDescent="0.35">
      <c r="A3294" s="82"/>
      <c r="B3294" s="19"/>
      <c r="C3294" s="19"/>
      <c r="D3294" s="19"/>
      <c r="E3294" s="19"/>
      <c r="F3294" s="19"/>
      <c r="G3294" s="19"/>
      <c r="H3294" s="19"/>
      <c r="I3294" s="19"/>
      <c r="J3294" s="19"/>
      <c r="K3294" s="19"/>
      <c r="L3294" s="19"/>
      <c r="M3294" s="19"/>
      <c r="N3294" s="19"/>
      <c r="O3294" s="19"/>
      <c r="P3294" s="19"/>
      <c r="Q3294" s="19"/>
      <c r="R3294" s="20"/>
    </row>
    <row r="3295" spans="1:19" x14ac:dyDescent="0.35">
      <c r="A3295" s="82"/>
      <c r="B3295" s="19"/>
      <c r="C3295" s="19"/>
      <c r="D3295" s="19"/>
      <c r="E3295" s="19"/>
      <c r="F3295" s="19"/>
      <c r="G3295" s="19"/>
      <c r="H3295" s="19"/>
      <c r="I3295" s="19"/>
      <c r="J3295" s="19"/>
      <c r="K3295" s="19"/>
      <c r="L3295" s="19"/>
      <c r="M3295" s="19"/>
      <c r="N3295" s="19"/>
      <c r="O3295" s="19"/>
      <c r="P3295" s="19"/>
      <c r="Q3295" s="19"/>
      <c r="R3295" s="20"/>
    </row>
    <row r="3296" spans="1:19" x14ac:dyDescent="0.35">
      <c r="A3296" s="81"/>
      <c r="B3296" s="17"/>
      <c r="C3296" s="17"/>
      <c r="D3296" s="17"/>
      <c r="E3296" s="17"/>
      <c r="F3296" s="17"/>
      <c r="G3296" s="17"/>
      <c r="H3296" s="17"/>
      <c r="I3296" s="17"/>
      <c r="J3296" s="17"/>
      <c r="K3296" s="17"/>
      <c r="L3296" s="17"/>
      <c r="M3296" s="17"/>
      <c r="N3296" s="17"/>
      <c r="O3296" s="17"/>
      <c r="P3296" s="17"/>
      <c r="Q3296" s="17"/>
      <c r="R3296" s="18"/>
      <c r="S3296" s="30"/>
    </row>
    <row r="3297" spans="1:19" x14ac:dyDescent="0.35">
      <c r="A3297" s="81"/>
      <c r="B3297" s="17"/>
      <c r="C3297" s="17"/>
      <c r="D3297" s="17"/>
      <c r="E3297" s="17"/>
      <c r="F3297" s="17"/>
      <c r="G3297" s="17"/>
      <c r="H3297" s="17"/>
      <c r="I3297" s="17"/>
      <c r="J3297" s="17"/>
      <c r="K3297" s="17"/>
      <c r="L3297" s="17"/>
      <c r="M3297" s="17"/>
      <c r="N3297" s="17"/>
      <c r="O3297" s="17"/>
      <c r="P3297" s="17"/>
      <c r="Q3297" s="17"/>
      <c r="R3297" s="18"/>
      <c r="S3297" s="30"/>
    </row>
    <row r="3298" spans="1:19" x14ac:dyDescent="0.35">
      <c r="A3298" s="82"/>
      <c r="B3298" s="19"/>
      <c r="C3298" s="19"/>
      <c r="D3298" s="19"/>
      <c r="E3298" s="19"/>
      <c r="F3298" s="19"/>
      <c r="G3298" s="19"/>
      <c r="H3298" s="19"/>
      <c r="I3298" s="19"/>
      <c r="J3298" s="19"/>
      <c r="K3298" s="19"/>
      <c r="L3298" s="19"/>
      <c r="M3298" s="19"/>
      <c r="N3298" s="19"/>
      <c r="O3298" s="19"/>
      <c r="P3298" s="19"/>
      <c r="Q3298" s="19"/>
      <c r="R3298" s="20"/>
    </row>
    <row r="3299" spans="1:19" x14ac:dyDescent="0.35">
      <c r="A3299" s="81"/>
      <c r="B3299" s="17"/>
      <c r="C3299" s="17"/>
      <c r="D3299" s="17"/>
      <c r="E3299" s="17"/>
      <c r="F3299" s="17"/>
      <c r="G3299" s="17"/>
      <c r="H3299" s="17"/>
      <c r="I3299" s="17"/>
      <c r="J3299" s="17"/>
      <c r="K3299" s="17"/>
      <c r="L3299" s="17"/>
      <c r="M3299" s="17"/>
      <c r="N3299" s="17"/>
      <c r="O3299" s="17"/>
      <c r="P3299" s="17"/>
      <c r="Q3299" s="17"/>
      <c r="R3299" s="18"/>
    </row>
    <row r="3300" spans="1:19" x14ac:dyDescent="0.35">
      <c r="A3300" s="82"/>
      <c r="B3300" s="19"/>
      <c r="C3300" s="19"/>
      <c r="D3300" s="19"/>
      <c r="E3300" s="19"/>
      <c r="F3300" s="19"/>
      <c r="G3300" s="19"/>
      <c r="H3300" s="19"/>
      <c r="I3300" s="19"/>
      <c r="J3300" s="19"/>
      <c r="K3300" s="19"/>
      <c r="L3300" s="19"/>
      <c r="M3300" s="19"/>
      <c r="N3300" s="19"/>
      <c r="O3300" s="19"/>
      <c r="P3300" s="19"/>
      <c r="Q3300" s="19"/>
      <c r="R3300" s="20"/>
    </row>
    <row r="3301" spans="1:19" x14ac:dyDescent="0.35">
      <c r="A3301" s="82"/>
      <c r="B3301" s="19"/>
      <c r="C3301" s="19"/>
      <c r="D3301" s="19"/>
      <c r="E3301" s="19"/>
      <c r="F3301" s="19"/>
      <c r="G3301" s="19"/>
      <c r="H3301" s="19"/>
      <c r="I3301" s="19"/>
      <c r="J3301" s="19"/>
      <c r="K3301" s="19"/>
      <c r="L3301" s="19"/>
      <c r="M3301" s="19"/>
      <c r="N3301" s="19"/>
      <c r="O3301" s="19"/>
      <c r="P3301" s="19"/>
      <c r="Q3301" s="19"/>
      <c r="R3301" s="20"/>
    </row>
    <row r="3302" spans="1:19" x14ac:dyDescent="0.35">
      <c r="A3302" s="81"/>
      <c r="B3302" s="17"/>
      <c r="C3302" s="17"/>
      <c r="D3302" s="17"/>
      <c r="E3302" s="17"/>
      <c r="F3302" s="17"/>
      <c r="G3302" s="17"/>
      <c r="H3302" s="17"/>
      <c r="I3302" s="17"/>
      <c r="J3302" s="17"/>
      <c r="K3302" s="17"/>
      <c r="L3302" s="17"/>
      <c r="M3302" s="17"/>
      <c r="N3302" s="17"/>
      <c r="O3302" s="17"/>
      <c r="P3302" s="17"/>
      <c r="Q3302" s="17"/>
      <c r="R3302" s="18"/>
    </row>
    <row r="3303" spans="1:19" x14ac:dyDescent="0.35">
      <c r="A3303" s="81"/>
      <c r="B3303" s="17"/>
      <c r="C3303" s="17"/>
      <c r="D3303" s="17"/>
      <c r="E3303" s="17"/>
      <c r="F3303" s="17"/>
      <c r="G3303" s="17"/>
      <c r="H3303" s="17"/>
      <c r="I3303" s="17"/>
      <c r="J3303" s="17"/>
      <c r="K3303" s="17"/>
      <c r="L3303" s="19"/>
      <c r="M3303" s="19"/>
      <c r="N3303" s="19"/>
      <c r="O3303" s="17"/>
      <c r="P3303" s="17"/>
      <c r="Q3303" s="17"/>
      <c r="R3303" s="18"/>
    </row>
    <row r="3304" spans="1:19" x14ac:dyDescent="0.35">
      <c r="A3304" s="81"/>
      <c r="B3304" s="17"/>
      <c r="C3304" s="17"/>
      <c r="D3304" s="17"/>
      <c r="E3304" s="17"/>
      <c r="F3304" s="17"/>
      <c r="G3304" s="17"/>
      <c r="H3304" s="17"/>
      <c r="I3304" s="17"/>
      <c r="J3304" s="17"/>
      <c r="K3304" s="17"/>
      <c r="L3304" s="17"/>
      <c r="M3304" s="17"/>
      <c r="N3304" s="17"/>
      <c r="O3304" s="17"/>
      <c r="P3304" s="17"/>
      <c r="Q3304" s="17"/>
      <c r="R3304" s="18"/>
      <c r="S3304" s="30"/>
    </row>
    <row r="3305" spans="1:19" x14ac:dyDescent="0.35">
      <c r="A3305" s="82"/>
      <c r="B3305" s="19"/>
      <c r="C3305" s="19"/>
      <c r="D3305" s="19"/>
      <c r="E3305" s="19"/>
      <c r="F3305" s="19"/>
      <c r="G3305" s="19"/>
      <c r="H3305" s="19"/>
      <c r="I3305" s="19"/>
      <c r="J3305" s="19"/>
      <c r="K3305" s="19"/>
      <c r="L3305" s="19"/>
      <c r="M3305" s="19"/>
      <c r="N3305" s="19"/>
      <c r="O3305" s="19"/>
      <c r="P3305" s="19"/>
      <c r="Q3305" s="19"/>
      <c r="R3305" s="20"/>
    </row>
    <row r="3306" spans="1:19" x14ac:dyDescent="0.35">
      <c r="A3306" s="82"/>
      <c r="B3306" s="19"/>
      <c r="C3306" s="19"/>
      <c r="D3306" s="19"/>
      <c r="E3306" s="19"/>
      <c r="F3306" s="19"/>
      <c r="G3306" s="19"/>
      <c r="H3306" s="19"/>
      <c r="I3306" s="19"/>
      <c r="J3306" s="19"/>
      <c r="K3306" s="19"/>
      <c r="L3306" s="19"/>
      <c r="M3306" s="19"/>
      <c r="N3306" s="19"/>
      <c r="O3306" s="19"/>
      <c r="P3306" s="19"/>
      <c r="Q3306" s="19"/>
      <c r="R3306" s="20"/>
    </row>
    <row r="3307" spans="1:19" x14ac:dyDescent="0.35">
      <c r="A3307" s="82"/>
      <c r="B3307" s="19"/>
      <c r="C3307" s="19"/>
      <c r="D3307" s="19"/>
      <c r="E3307" s="19"/>
      <c r="F3307" s="19"/>
      <c r="G3307" s="19"/>
      <c r="H3307" s="19"/>
      <c r="I3307" s="19"/>
      <c r="J3307" s="19"/>
      <c r="K3307" s="19"/>
      <c r="L3307" s="19"/>
      <c r="M3307" s="19"/>
      <c r="N3307" s="19"/>
      <c r="O3307" s="19"/>
      <c r="P3307" s="19"/>
      <c r="Q3307" s="19"/>
      <c r="R3307" s="20"/>
    </row>
    <row r="3308" spans="1:19" x14ac:dyDescent="0.35">
      <c r="A3308" s="82"/>
      <c r="B3308" s="19"/>
      <c r="C3308" s="19"/>
      <c r="D3308" s="19"/>
      <c r="E3308" s="19"/>
      <c r="F3308" s="19"/>
      <c r="G3308" s="19"/>
      <c r="H3308" s="19"/>
      <c r="I3308" s="19"/>
      <c r="J3308" s="19"/>
      <c r="K3308" s="19"/>
      <c r="L3308" s="19"/>
      <c r="M3308" s="19"/>
      <c r="N3308" s="19"/>
      <c r="O3308" s="19"/>
      <c r="P3308" s="19"/>
      <c r="Q3308" s="19"/>
      <c r="R3308" s="20"/>
      <c r="S3308" s="30"/>
    </row>
    <row r="3309" spans="1:19" x14ac:dyDescent="0.35">
      <c r="A3309" s="82"/>
      <c r="B3309" s="19"/>
      <c r="C3309" s="19"/>
      <c r="D3309" s="19"/>
      <c r="E3309" s="19"/>
      <c r="F3309" s="19"/>
      <c r="G3309" s="19"/>
      <c r="H3309" s="19"/>
      <c r="I3309" s="19"/>
      <c r="J3309" s="19"/>
      <c r="K3309" s="19"/>
      <c r="L3309" s="19"/>
      <c r="M3309" s="19"/>
      <c r="N3309" s="19"/>
      <c r="O3309" s="19"/>
      <c r="P3309" s="19"/>
      <c r="Q3309" s="19"/>
      <c r="R3309" s="20"/>
      <c r="S3309" s="30"/>
    </row>
    <row r="3310" spans="1:19" x14ac:dyDescent="0.35">
      <c r="A3310" s="82"/>
      <c r="B3310" s="19"/>
      <c r="C3310" s="19"/>
      <c r="D3310" s="19"/>
      <c r="E3310" s="19"/>
      <c r="F3310" s="19"/>
      <c r="G3310" s="19"/>
      <c r="H3310" s="19"/>
      <c r="I3310" s="19"/>
      <c r="J3310" s="19"/>
      <c r="K3310" s="19"/>
      <c r="L3310" s="19"/>
      <c r="M3310" s="19"/>
      <c r="N3310" s="19"/>
      <c r="O3310" s="19"/>
      <c r="P3310" s="19"/>
      <c r="Q3310" s="19"/>
      <c r="R3310" s="20"/>
    </row>
    <row r="3311" spans="1:19" x14ac:dyDescent="0.35">
      <c r="A3311" s="82"/>
      <c r="B3311" s="19"/>
      <c r="C3311" s="19"/>
      <c r="D3311" s="19"/>
      <c r="E3311" s="19"/>
      <c r="F3311" s="19"/>
      <c r="G3311" s="19"/>
      <c r="H3311" s="19"/>
      <c r="I3311" s="19"/>
      <c r="J3311" s="19"/>
      <c r="K3311" s="19"/>
      <c r="L3311" s="19"/>
      <c r="M3311" s="19"/>
      <c r="N3311" s="19"/>
      <c r="O3311" s="19"/>
      <c r="P3311" s="19"/>
      <c r="Q3311" s="19"/>
      <c r="R3311" s="20"/>
    </row>
    <row r="3312" spans="1:19" x14ac:dyDescent="0.35">
      <c r="A3312" s="81"/>
      <c r="B3312" s="17"/>
      <c r="C3312" s="17"/>
      <c r="D3312" s="17"/>
      <c r="E3312" s="17"/>
      <c r="F3312" s="17"/>
      <c r="G3312" s="17"/>
      <c r="H3312" s="17"/>
      <c r="I3312" s="17"/>
      <c r="J3312" s="17"/>
      <c r="K3312" s="17"/>
      <c r="L3312" s="17"/>
      <c r="M3312" s="17"/>
      <c r="N3312" s="17"/>
      <c r="O3312" s="17"/>
      <c r="P3312" s="17"/>
      <c r="Q3312" s="17"/>
      <c r="R3312" s="18"/>
      <c r="S3312" s="30"/>
    </row>
    <row r="3313" spans="1:19" x14ac:dyDescent="0.35">
      <c r="A3313" s="82"/>
      <c r="B3313" s="19"/>
      <c r="C3313" s="19"/>
      <c r="D3313" s="19"/>
      <c r="E3313" s="19"/>
      <c r="F3313" s="19"/>
      <c r="G3313" s="19"/>
      <c r="H3313" s="19"/>
      <c r="I3313" s="19"/>
      <c r="J3313" s="19"/>
      <c r="K3313" s="19"/>
      <c r="L3313" s="19"/>
      <c r="M3313" s="19"/>
      <c r="N3313" s="19"/>
      <c r="O3313" s="19"/>
      <c r="P3313" s="19"/>
      <c r="Q3313" s="19"/>
      <c r="R3313" s="20"/>
    </row>
    <row r="3314" spans="1:19" x14ac:dyDescent="0.35">
      <c r="A3314" s="82"/>
      <c r="B3314" s="19"/>
      <c r="C3314" s="19"/>
      <c r="D3314" s="19"/>
      <c r="E3314" s="19"/>
      <c r="F3314" s="19"/>
      <c r="G3314" s="19"/>
      <c r="H3314" s="19"/>
      <c r="I3314" s="19"/>
      <c r="J3314" s="19"/>
      <c r="K3314" s="19"/>
      <c r="L3314" s="19"/>
      <c r="M3314" s="19"/>
      <c r="N3314" s="19"/>
      <c r="O3314" s="19"/>
      <c r="P3314" s="19"/>
      <c r="Q3314" s="19"/>
      <c r="R3314" s="20"/>
    </row>
    <row r="3315" spans="1:19" x14ac:dyDescent="0.35">
      <c r="A3315" s="81"/>
      <c r="B3315" s="17"/>
      <c r="C3315" s="17"/>
      <c r="D3315" s="17"/>
      <c r="E3315" s="17"/>
      <c r="F3315" s="17"/>
      <c r="G3315" s="17"/>
      <c r="H3315" s="17"/>
      <c r="I3315" s="17"/>
      <c r="J3315" s="17"/>
      <c r="K3315" s="17"/>
      <c r="L3315" s="17"/>
      <c r="M3315" s="17"/>
      <c r="N3315" s="17"/>
      <c r="O3315" s="17"/>
      <c r="P3315" s="17"/>
      <c r="Q3315" s="17"/>
      <c r="R3315" s="18"/>
    </row>
    <row r="3316" spans="1:19" x14ac:dyDescent="0.35">
      <c r="A3316" s="81"/>
      <c r="B3316" s="17"/>
      <c r="C3316" s="17"/>
      <c r="D3316" s="17"/>
      <c r="E3316" s="17"/>
      <c r="F3316" s="17"/>
      <c r="G3316" s="17"/>
      <c r="H3316" s="17"/>
      <c r="I3316" s="17"/>
      <c r="J3316" s="17"/>
      <c r="K3316" s="17"/>
      <c r="L3316" s="17"/>
      <c r="M3316" s="17"/>
      <c r="N3316" s="17"/>
      <c r="O3316" s="17"/>
      <c r="P3316" s="17"/>
      <c r="Q3316" s="17"/>
      <c r="R3316" s="18"/>
      <c r="S3316" s="30"/>
    </row>
    <row r="3317" spans="1:19" x14ac:dyDescent="0.35">
      <c r="A3317" s="82"/>
      <c r="B3317" s="19"/>
      <c r="C3317" s="19"/>
      <c r="D3317" s="19"/>
      <c r="E3317" s="19"/>
      <c r="F3317" s="19"/>
      <c r="G3317" s="19"/>
      <c r="H3317" s="19"/>
      <c r="I3317" s="19"/>
      <c r="J3317" s="19"/>
      <c r="K3317" s="19"/>
      <c r="L3317" s="19"/>
      <c r="M3317" s="19"/>
      <c r="N3317" s="19"/>
      <c r="O3317" s="19"/>
      <c r="P3317" s="19"/>
      <c r="Q3317" s="19"/>
      <c r="R3317" s="20"/>
    </row>
    <row r="3318" spans="1:19" x14ac:dyDescent="0.35">
      <c r="A3318" s="82"/>
      <c r="B3318" s="19"/>
      <c r="C3318" s="19"/>
      <c r="D3318" s="19"/>
      <c r="E3318" s="19"/>
      <c r="F3318" s="19"/>
      <c r="G3318" s="19"/>
      <c r="H3318" s="19"/>
      <c r="I3318" s="19"/>
      <c r="J3318" s="19"/>
      <c r="K3318" s="19"/>
      <c r="L3318" s="19"/>
      <c r="M3318" s="19"/>
      <c r="N3318" s="19"/>
      <c r="O3318" s="19"/>
      <c r="P3318" s="19"/>
      <c r="Q3318" s="19"/>
      <c r="R3318" s="20"/>
    </row>
    <row r="3319" spans="1:19" x14ac:dyDescent="0.35">
      <c r="A3319" s="81"/>
      <c r="B3319" s="17"/>
      <c r="C3319" s="17"/>
      <c r="D3319" s="17"/>
      <c r="E3319" s="17"/>
      <c r="F3319" s="17"/>
      <c r="G3319" s="17"/>
      <c r="H3319" s="17"/>
      <c r="I3319" s="17"/>
      <c r="J3319" s="17"/>
      <c r="K3319" s="17"/>
      <c r="L3319" s="17"/>
      <c r="M3319" s="17"/>
      <c r="N3319" s="17"/>
      <c r="O3319" s="17"/>
      <c r="P3319" s="17"/>
      <c r="Q3319" s="17"/>
      <c r="R3319" s="18"/>
    </row>
    <row r="3320" spans="1:19" x14ac:dyDescent="0.35">
      <c r="A3320" s="82"/>
      <c r="B3320" s="19"/>
      <c r="C3320" s="19"/>
      <c r="D3320" s="19"/>
      <c r="E3320" s="19"/>
      <c r="F3320" s="19"/>
      <c r="G3320" s="19"/>
      <c r="H3320" s="19"/>
      <c r="I3320" s="19"/>
      <c r="J3320" s="19"/>
      <c r="K3320" s="19"/>
      <c r="L3320" s="19"/>
      <c r="M3320" s="19"/>
      <c r="N3320" s="19"/>
      <c r="O3320" s="19"/>
      <c r="P3320" s="19"/>
      <c r="Q3320" s="19"/>
      <c r="R3320" s="20"/>
    </row>
    <row r="3321" spans="1:19" x14ac:dyDescent="0.35">
      <c r="A3321" s="82"/>
      <c r="B3321" s="19"/>
      <c r="C3321" s="19"/>
      <c r="D3321" s="19"/>
      <c r="E3321" s="19"/>
      <c r="F3321" s="19"/>
      <c r="G3321" s="19"/>
      <c r="H3321" s="19"/>
      <c r="I3321" s="19"/>
      <c r="J3321" s="19"/>
      <c r="K3321" s="19"/>
      <c r="L3321" s="19"/>
      <c r="M3321" s="19"/>
      <c r="N3321" s="19"/>
      <c r="O3321" s="19"/>
      <c r="P3321" s="19"/>
      <c r="Q3321" s="19"/>
      <c r="R3321" s="20"/>
    </row>
    <row r="3322" spans="1:19" x14ac:dyDescent="0.35">
      <c r="A3322" s="81"/>
      <c r="B3322" s="17"/>
      <c r="C3322" s="17"/>
      <c r="D3322" s="17"/>
      <c r="E3322" s="17"/>
      <c r="F3322" s="17"/>
      <c r="G3322" s="17"/>
      <c r="H3322" s="17"/>
      <c r="I3322" s="17"/>
      <c r="J3322" s="17"/>
      <c r="K3322" s="17"/>
      <c r="L3322" s="17"/>
      <c r="M3322" s="17"/>
      <c r="N3322" s="17"/>
      <c r="O3322" s="17"/>
      <c r="P3322" s="17"/>
      <c r="Q3322" s="17"/>
      <c r="R3322" s="18"/>
    </row>
    <row r="3323" spans="1:19" x14ac:dyDescent="0.35">
      <c r="A3323" s="82"/>
      <c r="B3323" s="19"/>
      <c r="C3323" s="19"/>
      <c r="D3323" s="19"/>
      <c r="E3323" s="19"/>
      <c r="F3323" s="19"/>
      <c r="G3323" s="19"/>
      <c r="H3323" s="19"/>
      <c r="I3323" s="19"/>
      <c r="J3323" s="19"/>
      <c r="K3323" s="19"/>
      <c r="L3323" s="19"/>
      <c r="M3323" s="19"/>
      <c r="N3323" s="19"/>
      <c r="O3323" s="19"/>
      <c r="P3323" s="19"/>
      <c r="Q3323" s="19"/>
      <c r="R3323" s="20"/>
    </row>
    <row r="3324" spans="1:19" x14ac:dyDescent="0.35">
      <c r="A3324" s="82"/>
      <c r="B3324" s="19"/>
      <c r="C3324" s="19"/>
      <c r="D3324" s="19"/>
      <c r="E3324" s="19"/>
      <c r="F3324" s="19"/>
      <c r="G3324" s="19"/>
      <c r="H3324" s="19"/>
      <c r="I3324" s="19"/>
      <c r="J3324" s="19"/>
      <c r="K3324" s="19"/>
      <c r="L3324" s="19"/>
      <c r="M3324" s="19"/>
      <c r="N3324" s="19"/>
      <c r="O3324" s="19"/>
      <c r="P3324" s="19"/>
      <c r="Q3324" s="19"/>
      <c r="R3324" s="20"/>
    </row>
    <row r="3325" spans="1:19" x14ac:dyDescent="0.35">
      <c r="A3325" s="82"/>
      <c r="B3325" s="19"/>
      <c r="C3325" s="19"/>
      <c r="D3325" s="19"/>
      <c r="E3325" s="19"/>
      <c r="F3325" s="19"/>
      <c r="G3325" s="19"/>
      <c r="H3325" s="19"/>
      <c r="I3325" s="19"/>
      <c r="J3325" s="19"/>
      <c r="K3325" s="19"/>
      <c r="L3325" s="19"/>
      <c r="M3325" s="19"/>
      <c r="N3325" s="19"/>
      <c r="O3325" s="19"/>
      <c r="P3325" s="19"/>
      <c r="Q3325" s="19"/>
      <c r="R3325" s="20"/>
    </row>
    <row r="3326" spans="1:19" x14ac:dyDescent="0.35">
      <c r="A3326" s="82"/>
      <c r="B3326" s="19"/>
      <c r="C3326" s="19"/>
      <c r="D3326" s="19"/>
      <c r="E3326" s="19"/>
      <c r="F3326" s="19"/>
      <c r="G3326" s="19"/>
      <c r="H3326" s="19"/>
      <c r="I3326" s="19"/>
      <c r="J3326" s="19"/>
      <c r="K3326" s="19"/>
      <c r="L3326" s="19"/>
      <c r="M3326" s="19"/>
      <c r="N3326" s="19"/>
      <c r="O3326" s="19"/>
      <c r="P3326" s="19"/>
      <c r="Q3326" s="19"/>
      <c r="R3326" s="20"/>
      <c r="S3326" s="30"/>
    </row>
    <row r="3327" spans="1:19" x14ac:dyDescent="0.35">
      <c r="A3327" s="82"/>
      <c r="B3327" s="19"/>
      <c r="C3327" s="19"/>
      <c r="D3327" s="19"/>
      <c r="E3327" s="19"/>
      <c r="F3327" s="19"/>
      <c r="G3327" s="19"/>
      <c r="H3327" s="19"/>
      <c r="I3327" s="19"/>
      <c r="J3327" s="19"/>
      <c r="K3327" s="19"/>
      <c r="L3327" s="19"/>
      <c r="M3327" s="19"/>
      <c r="N3327" s="19"/>
      <c r="O3327" s="19"/>
      <c r="P3327" s="19"/>
      <c r="Q3327" s="19"/>
      <c r="R3327" s="20"/>
    </row>
    <row r="3328" spans="1:19" x14ac:dyDescent="0.35">
      <c r="A3328" s="81"/>
      <c r="B3328" s="17"/>
      <c r="C3328" s="17"/>
      <c r="D3328" s="17"/>
      <c r="E3328" s="17"/>
      <c r="F3328" s="17"/>
      <c r="G3328" s="17"/>
      <c r="H3328" s="17"/>
      <c r="I3328" s="17"/>
      <c r="J3328" s="17"/>
      <c r="K3328" s="17"/>
      <c r="L3328" s="17"/>
      <c r="M3328" s="17"/>
      <c r="N3328" s="17"/>
      <c r="O3328" s="17"/>
      <c r="P3328" s="17"/>
      <c r="Q3328" s="17"/>
      <c r="R3328" s="18"/>
    </row>
    <row r="3329" spans="1:19" x14ac:dyDescent="0.35">
      <c r="A3329" s="82"/>
      <c r="B3329" s="19"/>
      <c r="C3329" s="19"/>
      <c r="D3329" s="19"/>
      <c r="E3329" s="19"/>
      <c r="F3329" s="19"/>
      <c r="G3329" s="19"/>
      <c r="H3329" s="19"/>
      <c r="I3329" s="19"/>
      <c r="J3329" s="19"/>
      <c r="K3329" s="19"/>
      <c r="L3329" s="19"/>
      <c r="M3329" s="19"/>
      <c r="N3329" s="19"/>
      <c r="O3329" s="19"/>
      <c r="P3329" s="19"/>
      <c r="Q3329" s="19"/>
      <c r="R3329" s="20"/>
    </row>
    <row r="3330" spans="1:19" x14ac:dyDescent="0.35">
      <c r="A3330" s="82"/>
      <c r="B3330" s="19"/>
      <c r="C3330" s="19"/>
      <c r="D3330" s="19"/>
      <c r="E3330" s="19"/>
      <c r="F3330" s="19"/>
      <c r="G3330" s="19"/>
      <c r="H3330" s="19"/>
      <c r="I3330" s="19"/>
      <c r="J3330" s="19"/>
      <c r="K3330" s="19"/>
      <c r="L3330" s="19"/>
      <c r="M3330" s="19"/>
      <c r="N3330" s="19"/>
      <c r="O3330" s="19"/>
      <c r="P3330" s="19"/>
      <c r="Q3330" s="19"/>
      <c r="R3330" s="20"/>
    </row>
    <row r="3331" spans="1:19" x14ac:dyDescent="0.35">
      <c r="A3331" s="81"/>
      <c r="B3331" s="17"/>
      <c r="C3331" s="17"/>
      <c r="D3331" s="17"/>
      <c r="E3331" s="17"/>
      <c r="F3331" s="17"/>
      <c r="G3331" s="17"/>
      <c r="H3331" s="17"/>
      <c r="I3331" s="17"/>
      <c r="J3331" s="17"/>
      <c r="K3331" s="17"/>
      <c r="L3331" s="17"/>
      <c r="M3331" s="17"/>
      <c r="N3331" s="17"/>
      <c r="O3331" s="17"/>
      <c r="P3331" s="17"/>
      <c r="Q3331" s="17"/>
      <c r="R3331" s="18"/>
    </row>
    <row r="3332" spans="1:19" x14ac:dyDescent="0.35">
      <c r="A3332" s="81"/>
      <c r="B3332" s="17"/>
      <c r="C3332" s="17"/>
      <c r="D3332" s="17"/>
      <c r="E3332" s="17"/>
      <c r="F3332" s="17"/>
      <c r="G3332" s="17"/>
      <c r="H3332" s="17"/>
      <c r="I3332" s="17"/>
      <c r="J3332" s="17"/>
      <c r="K3332" s="17"/>
      <c r="L3332" s="19"/>
      <c r="M3332" s="19"/>
      <c r="N3332" s="19"/>
      <c r="O3332" s="17"/>
      <c r="P3332" s="17"/>
      <c r="Q3332" s="17"/>
      <c r="R3332" s="18"/>
    </row>
    <row r="3333" spans="1:19" x14ac:dyDescent="0.35">
      <c r="A3333" s="81"/>
      <c r="B3333" s="17"/>
      <c r="C3333" s="17"/>
      <c r="D3333" s="17"/>
      <c r="E3333" s="17"/>
      <c r="F3333" s="17"/>
      <c r="G3333" s="17"/>
      <c r="H3333" s="17"/>
      <c r="I3333" s="17"/>
      <c r="J3333" s="17"/>
      <c r="K3333" s="17"/>
      <c r="L3333" s="17"/>
      <c r="M3333" s="17"/>
      <c r="N3333" s="17"/>
      <c r="O3333" s="17"/>
      <c r="P3333" s="17"/>
      <c r="Q3333" s="17"/>
      <c r="R3333" s="18"/>
      <c r="S3333" s="30"/>
    </row>
    <row r="3334" spans="1:19" x14ac:dyDescent="0.35">
      <c r="A3334" s="82"/>
      <c r="B3334" s="19"/>
      <c r="C3334" s="19"/>
      <c r="D3334" s="19"/>
      <c r="E3334" s="19"/>
      <c r="F3334" s="19"/>
      <c r="G3334" s="19"/>
      <c r="H3334" s="19"/>
      <c r="I3334" s="19"/>
      <c r="J3334" s="19"/>
      <c r="K3334" s="19"/>
      <c r="L3334" s="19"/>
      <c r="M3334" s="19"/>
      <c r="N3334" s="19"/>
      <c r="O3334" s="19"/>
      <c r="P3334" s="19"/>
      <c r="Q3334" s="19"/>
      <c r="R3334" s="20"/>
    </row>
    <row r="3335" spans="1:19" x14ac:dyDescent="0.35">
      <c r="A3335" s="81"/>
      <c r="B3335" s="17"/>
      <c r="C3335" s="17"/>
      <c r="D3335" s="17"/>
      <c r="E3335" s="17"/>
      <c r="F3335" s="17"/>
      <c r="G3335" s="17"/>
      <c r="H3335" s="17"/>
      <c r="I3335" s="17"/>
      <c r="J3335" s="17"/>
      <c r="K3335" s="17"/>
      <c r="L3335" s="17"/>
      <c r="M3335" s="17"/>
      <c r="N3335" s="17"/>
      <c r="O3335" s="17"/>
      <c r="P3335" s="17"/>
      <c r="Q3335" s="17"/>
      <c r="R3335" s="18"/>
    </row>
    <row r="3336" spans="1:19" x14ac:dyDescent="0.35">
      <c r="A3336" s="81"/>
      <c r="B3336" s="17"/>
      <c r="C3336" s="17"/>
      <c r="D3336" s="17"/>
      <c r="E3336" s="17"/>
      <c r="F3336" s="17"/>
      <c r="G3336" s="17"/>
      <c r="H3336" s="17"/>
      <c r="I3336" s="17"/>
      <c r="J3336" s="17"/>
      <c r="K3336" s="17"/>
      <c r="L3336" s="17"/>
      <c r="M3336" s="17"/>
      <c r="N3336" s="17"/>
      <c r="O3336" s="17"/>
      <c r="P3336" s="17"/>
      <c r="Q3336" s="17"/>
      <c r="R3336" s="18"/>
      <c r="S3336" s="30"/>
    </row>
    <row r="3337" spans="1:19" x14ac:dyDescent="0.35">
      <c r="A3337" s="82"/>
      <c r="B3337" s="19"/>
      <c r="C3337" s="19"/>
      <c r="D3337" s="19"/>
      <c r="E3337" s="19"/>
      <c r="F3337" s="19"/>
      <c r="G3337" s="19"/>
      <c r="H3337" s="19"/>
      <c r="I3337" s="19"/>
      <c r="J3337" s="19"/>
      <c r="K3337" s="19"/>
      <c r="L3337" s="19"/>
      <c r="M3337" s="19"/>
      <c r="N3337" s="19"/>
      <c r="O3337" s="19"/>
      <c r="P3337" s="19"/>
      <c r="Q3337" s="19"/>
      <c r="R3337" s="20"/>
    </row>
    <row r="3338" spans="1:19" x14ac:dyDescent="0.35">
      <c r="A3338" s="82"/>
      <c r="B3338" s="19"/>
      <c r="C3338" s="19"/>
      <c r="D3338" s="19"/>
      <c r="E3338" s="19"/>
      <c r="F3338" s="19"/>
      <c r="G3338" s="19"/>
      <c r="H3338" s="19"/>
      <c r="I3338" s="19"/>
      <c r="J3338" s="19"/>
      <c r="K3338" s="19"/>
      <c r="L3338" s="19"/>
      <c r="M3338" s="19"/>
      <c r="N3338" s="19"/>
      <c r="O3338" s="19"/>
      <c r="P3338" s="19"/>
      <c r="Q3338" s="19"/>
      <c r="R3338" s="20"/>
    </row>
    <row r="3339" spans="1:19" x14ac:dyDescent="0.35">
      <c r="A3339" s="82"/>
      <c r="B3339" s="19"/>
      <c r="C3339" s="19"/>
      <c r="D3339" s="19"/>
      <c r="E3339" s="19"/>
      <c r="F3339" s="19"/>
      <c r="G3339" s="19"/>
      <c r="H3339" s="19"/>
      <c r="I3339" s="19"/>
      <c r="J3339" s="19"/>
      <c r="K3339" s="19"/>
      <c r="L3339" s="19"/>
      <c r="M3339" s="19"/>
      <c r="N3339" s="19"/>
      <c r="O3339" s="19"/>
      <c r="P3339" s="19"/>
      <c r="Q3339" s="19"/>
      <c r="R3339" s="20"/>
    </row>
    <row r="3340" spans="1:19" x14ac:dyDescent="0.35">
      <c r="A3340" s="82"/>
      <c r="B3340" s="19"/>
      <c r="C3340" s="19"/>
      <c r="D3340" s="19"/>
      <c r="E3340" s="19"/>
      <c r="F3340" s="19"/>
      <c r="G3340" s="19"/>
      <c r="H3340" s="19"/>
      <c r="I3340" s="19"/>
      <c r="J3340" s="19"/>
      <c r="K3340" s="19"/>
      <c r="L3340" s="19"/>
      <c r="M3340" s="19"/>
      <c r="N3340" s="19"/>
      <c r="O3340" s="19"/>
      <c r="P3340" s="19"/>
      <c r="Q3340" s="19"/>
      <c r="R3340" s="20"/>
    </row>
    <row r="3341" spans="1:19" x14ac:dyDescent="0.35">
      <c r="A3341" s="81"/>
      <c r="B3341" s="17"/>
      <c r="C3341" s="17"/>
      <c r="D3341" s="17"/>
      <c r="E3341" s="17"/>
      <c r="F3341" s="17"/>
      <c r="G3341" s="17"/>
      <c r="H3341" s="17"/>
      <c r="I3341" s="17"/>
      <c r="J3341" s="17"/>
      <c r="K3341" s="17"/>
      <c r="L3341" s="17"/>
      <c r="M3341" s="17"/>
      <c r="N3341" s="17"/>
      <c r="O3341" s="17"/>
      <c r="P3341" s="17"/>
      <c r="Q3341" s="17"/>
      <c r="R3341" s="18"/>
      <c r="S3341" s="30"/>
    </row>
    <row r="3342" spans="1:19" x14ac:dyDescent="0.35">
      <c r="A3342" s="81"/>
      <c r="B3342" s="17"/>
      <c r="C3342" s="17"/>
      <c r="D3342" s="17"/>
      <c r="E3342" s="17"/>
      <c r="F3342" s="17"/>
      <c r="G3342" s="17"/>
      <c r="H3342" s="17"/>
      <c r="I3342" s="17"/>
      <c r="J3342" s="17"/>
      <c r="K3342" s="17"/>
      <c r="L3342" s="17"/>
      <c r="M3342" s="17"/>
      <c r="N3342" s="17"/>
      <c r="O3342" s="17"/>
      <c r="P3342" s="17"/>
      <c r="Q3342" s="17"/>
      <c r="R3342" s="18"/>
      <c r="S3342" s="30"/>
    </row>
    <row r="3343" spans="1:19" x14ac:dyDescent="0.35">
      <c r="A3343" s="81"/>
      <c r="B3343" s="17"/>
      <c r="C3343" s="17"/>
      <c r="D3343" s="17"/>
      <c r="E3343" s="17"/>
      <c r="F3343" s="17"/>
      <c r="G3343" s="17"/>
      <c r="H3343" s="17"/>
      <c r="I3343" s="17"/>
      <c r="J3343" s="17"/>
      <c r="K3343" s="17"/>
      <c r="L3343" s="17"/>
      <c r="M3343" s="17"/>
      <c r="N3343" s="17"/>
      <c r="O3343" s="17"/>
      <c r="P3343" s="17"/>
      <c r="Q3343" s="17"/>
      <c r="R3343" s="18"/>
    </row>
    <row r="3344" spans="1:19" x14ac:dyDescent="0.35">
      <c r="A3344" s="82"/>
      <c r="B3344" s="19"/>
      <c r="C3344" s="19"/>
      <c r="D3344" s="19"/>
      <c r="E3344" s="19"/>
      <c r="F3344" s="19"/>
      <c r="G3344" s="19"/>
      <c r="H3344" s="19"/>
      <c r="I3344" s="19"/>
      <c r="J3344" s="19"/>
      <c r="K3344" s="19"/>
      <c r="L3344" s="19"/>
      <c r="M3344" s="19"/>
      <c r="N3344" s="19"/>
      <c r="O3344" s="19"/>
      <c r="P3344" s="19"/>
      <c r="Q3344" s="19"/>
      <c r="R3344" s="20"/>
    </row>
    <row r="3345" spans="1:19" x14ac:dyDescent="0.35">
      <c r="A3345" s="82"/>
      <c r="B3345" s="19"/>
      <c r="C3345" s="19"/>
      <c r="D3345" s="19"/>
      <c r="E3345" s="19"/>
      <c r="F3345" s="19"/>
      <c r="G3345" s="19"/>
      <c r="H3345" s="19"/>
      <c r="I3345" s="19"/>
      <c r="J3345" s="19"/>
      <c r="K3345" s="19"/>
      <c r="L3345" s="19"/>
      <c r="M3345" s="19"/>
      <c r="N3345" s="19"/>
      <c r="O3345" s="19"/>
      <c r="P3345" s="19"/>
      <c r="Q3345" s="19"/>
      <c r="R3345" s="20"/>
    </row>
    <row r="3346" spans="1:19" x14ac:dyDescent="0.35">
      <c r="A3346" s="81"/>
      <c r="B3346" s="17"/>
      <c r="C3346" s="17"/>
      <c r="D3346" s="17"/>
      <c r="E3346" s="17"/>
      <c r="F3346" s="17"/>
      <c r="G3346" s="17"/>
      <c r="H3346" s="17"/>
      <c r="I3346" s="17"/>
      <c r="J3346" s="17"/>
      <c r="K3346" s="17"/>
      <c r="L3346" s="17"/>
      <c r="M3346" s="17"/>
      <c r="N3346" s="17"/>
      <c r="O3346" s="17"/>
      <c r="P3346" s="17"/>
      <c r="Q3346" s="17"/>
      <c r="R3346" s="18"/>
    </row>
    <row r="3347" spans="1:19" x14ac:dyDescent="0.35">
      <c r="A3347" s="82"/>
      <c r="B3347" s="19"/>
      <c r="C3347" s="19"/>
      <c r="D3347" s="19"/>
      <c r="E3347" s="19"/>
      <c r="F3347" s="19"/>
      <c r="G3347" s="19"/>
      <c r="H3347" s="19"/>
      <c r="I3347" s="19"/>
      <c r="J3347" s="19"/>
      <c r="K3347" s="19"/>
      <c r="L3347" s="19"/>
      <c r="M3347" s="19"/>
      <c r="N3347" s="19"/>
      <c r="O3347" s="19"/>
      <c r="P3347" s="19"/>
      <c r="Q3347" s="19"/>
      <c r="R3347" s="20"/>
    </row>
    <row r="3348" spans="1:19" x14ac:dyDescent="0.35">
      <c r="A3348" s="81"/>
      <c r="B3348" s="17"/>
      <c r="C3348" s="17"/>
      <c r="D3348" s="17"/>
      <c r="E3348" s="17"/>
      <c r="F3348" s="17"/>
      <c r="G3348" s="17"/>
      <c r="H3348" s="17"/>
      <c r="I3348" s="17"/>
      <c r="J3348" s="17"/>
      <c r="K3348" s="17"/>
      <c r="L3348" s="17"/>
      <c r="M3348" s="17"/>
      <c r="N3348" s="17"/>
      <c r="O3348" s="17"/>
      <c r="P3348" s="17"/>
      <c r="Q3348" s="17"/>
      <c r="R3348" s="18"/>
    </row>
    <row r="3349" spans="1:19" x14ac:dyDescent="0.35">
      <c r="A3349" s="82"/>
      <c r="B3349" s="19"/>
      <c r="C3349" s="19"/>
      <c r="D3349" s="19"/>
      <c r="E3349" s="19"/>
      <c r="F3349" s="19"/>
      <c r="G3349" s="19"/>
      <c r="H3349" s="19"/>
      <c r="I3349" s="19"/>
      <c r="J3349" s="19"/>
      <c r="K3349" s="19"/>
      <c r="L3349" s="19"/>
      <c r="M3349" s="19"/>
      <c r="N3349" s="19"/>
      <c r="O3349" s="19"/>
      <c r="P3349" s="19"/>
      <c r="Q3349" s="19"/>
      <c r="R3349" s="20"/>
    </row>
    <row r="3350" spans="1:19" x14ac:dyDescent="0.35">
      <c r="A3350" s="82"/>
      <c r="B3350" s="19"/>
      <c r="C3350" s="19"/>
      <c r="D3350" s="19"/>
      <c r="E3350" s="19"/>
      <c r="F3350" s="19"/>
      <c r="G3350" s="19"/>
      <c r="H3350" s="19"/>
      <c r="I3350" s="19"/>
      <c r="J3350" s="19"/>
      <c r="K3350" s="19"/>
      <c r="L3350" s="19"/>
      <c r="M3350" s="19"/>
      <c r="N3350" s="19"/>
      <c r="O3350" s="19"/>
      <c r="P3350" s="19"/>
      <c r="Q3350" s="19"/>
      <c r="R3350" s="20"/>
    </row>
    <row r="3351" spans="1:19" x14ac:dyDescent="0.35">
      <c r="A3351" s="81"/>
      <c r="B3351" s="17"/>
      <c r="C3351" s="17"/>
      <c r="D3351" s="17"/>
      <c r="E3351" s="17"/>
      <c r="F3351" s="17"/>
      <c r="G3351" s="17"/>
      <c r="H3351" s="17"/>
      <c r="I3351" s="17"/>
      <c r="J3351" s="17"/>
      <c r="K3351" s="17"/>
      <c r="L3351" s="19"/>
      <c r="M3351" s="19"/>
      <c r="N3351" s="19"/>
      <c r="O3351" s="17"/>
      <c r="P3351" s="17"/>
      <c r="Q3351" s="17"/>
      <c r="R3351" s="18"/>
    </row>
    <row r="3352" spans="1:19" x14ac:dyDescent="0.35">
      <c r="A3352" s="82"/>
      <c r="B3352" s="19"/>
      <c r="C3352" s="19"/>
      <c r="D3352" s="19"/>
      <c r="E3352" s="19"/>
      <c r="F3352" s="19"/>
      <c r="G3352" s="19"/>
      <c r="H3352" s="19"/>
      <c r="I3352" s="19"/>
      <c r="J3352" s="19"/>
      <c r="K3352" s="19"/>
      <c r="L3352" s="19"/>
      <c r="M3352" s="19"/>
      <c r="N3352" s="19"/>
      <c r="O3352" s="19"/>
      <c r="P3352" s="19"/>
      <c r="Q3352" s="19"/>
      <c r="R3352" s="20"/>
    </row>
    <row r="3353" spans="1:19" x14ac:dyDescent="0.35">
      <c r="A3353" s="81"/>
      <c r="B3353" s="17"/>
      <c r="C3353" s="17"/>
      <c r="D3353" s="17"/>
      <c r="E3353" s="17"/>
      <c r="F3353" s="17"/>
      <c r="G3353" s="17"/>
      <c r="H3353" s="17"/>
      <c r="I3353" s="17"/>
      <c r="J3353" s="17"/>
      <c r="K3353" s="17"/>
      <c r="L3353" s="17"/>
      <c r="M3353" s="17"/>
      <c r="N3353" s="17"/>
      <c r="O3353" s="17"/>
      <c r="P3353" s="17"/>
      <c r="Q3353" s="17"/>
      <c r="R3353" s="18"/>
    </row>
    <row r="3354" spans="1:19" x14ac:dyDescent="0.35">
      <c r="A3354" s="82"/>
      <c r="B3354" s="19"/>
      <c r="C3354" s="19"/>
      <c r="D3354" s="19"/>
      <c r="E3354" s="19"/>
      <c r="F3354" s="19"/>
      <c r="G3354" s="19"/>
      <c r="H3354" s="19"/>
      <c r="I3354" s="19"/>
      <c r="J3354" s="19"/>
      <c r="K3354" s="19"/>
      <c r="L3354" s="19"/>
      <c r="M3354" s="19"/>
      <c r="N3354" s="19"/>
      <c r="O3354" s="19"/>
      <c r="P3354" s="19"/>
      <c r="Q3354" s="19"/>
      <c r="R3354" s="20"/>
    </row>
    <row r="3355" spans="1:19" x14ac:dyDescent="0.35">
      <c r="A3355" s="82"/>
      <c r="B3355" s="19"/>
      <c r="C3355" s="19"/>
      <c r="D3355" s="19"/>
      <c r="E3355" s="19"/>
      <c r="F3355" s="19"/>
      <c r="G3355" s="19"/>
      <c r="H3355" s="19"/>
      <c r="I3355" s="19"/>
      <c r="J3355" s="19"/>
      <c r="K3355" s="19"/>
      <c r="L3355" s="19"/>
      <c r="M3355" s="19"/>
      <c r="N3355" s="19"/>
      <c r="O3355" s="19"/>
      <c r="P3355" s="19"/>
      <c r="Q3355" s="19"/>
      <c r="R3355" s="20"/>
    </row>
    <row r="3356" spans="1:19" x14ac:dyDescent="0.35">
      <c r="A3356" s="82"/>
      <c r="B3356" s="19"/>
      <c r="C3356" s="19"/>
      <c r="D3356" s="19"/>
      <c r="E3356" s="19"/>
      <c r="F3356" s="19"/>
      <c r="G3356" s="19"/>
      <c r="H3356" s="19"/>
      <c r="I3356" s="19"/>
      <c r="J3356" s="19"/>
      <c r="K3356" s="19"/>
      <c r="L3356" s="19"/>
      <c r="M3356" s="19"/>
      <c r="N3356" s="19"/>
      <c r="O3356" s="19"/>
      <c r="P3356" s="19"/>
      <c r="Q3356" s="19"/>
      <c r="R3356" s="20"/>
      <c r="S3356" s="30"/>
    </row>
    <row r="3357" spans="1:19" x14ac:dyDescent="0.35">
      <c r="A3357" s="82"/>
      <c r="B3357" s="19"/>
      <c r="C3357" s="19"/>
      <c r="D3357" s="19"/>
      <c r="E3357" s="19"/>
      <c r="F3357" s="19"/>
      <c r="G3357" s="19"/>
      <c r="H3357" s="19"/>
      <c r="I3357" s="19"/>
      <c r="J3357" s="19"/>
      <c r="K3357" s="19"/>
      <c r="L3357" s="19"/>
      <c r="M3357" s="19"/>
      <c r="N3357" s="19"/>
      <c r="O3357" s="19"/>
      <c r="P3357" s="19"/>
      <c r="Q3357" s="19"/>
      <c r="R3357" s="20"/>
      <c r="S3357" s="30"/>
    </row>
    <row r="3358" spans="1:19" x14ac:dyDescent="0.35">
      <c r="A3358" s="82"/>
      <c r="B3358" s="19"/>
      <c r="C3358" s="19"/>
      <c r="D3358" s="19"/>
      <c r="E3358" s="19"/>
      <c r="F3358" s="19"/>
      <c r="G3358" s="19"/>
      <c r="H3358" s="19"/>
      <c r="I3358" s="19"/>
      <c r="J3358" s="19"/>
      <c r="K3358" s="19"/>
      <c r="L3358" s="19"/>
      <c r="M3358" s="19"/>
      <c r="N3358" s="19"/>
      <c r="O3358" s="19"/>
      <c r="P3358" s="19"/>
      <c r="Q3358" s="19"/>
      <c r="R3358" s="20"/>
    </row>
    <row r="3359" spans="1:19" x14ac:dyDescent="0.35">
      <c r="A3359" s="82"/>
      <c r="B3359" s="19"/>
      <c r="C3359" s="19"/>
      <c r="D3359" s="19"/>
      <c r="E3359" s="19"/>
      <c r="F3359" s="19"/>
      <c r="G3359" s="19"/>
      <c r="H3359" s="19"/>
      <c r="I3359" s="19"/>
      <c r="J3359" s="19"/>
      <c r="K3359" s="19"/>
      <c r="L3359" s="19"/>
      <c r="M3359" s="19"/>
      <c r="N3359" s="19"/>
      <c r="O3359" s="19"/>
      <c r="P3359" s="19"/>
      <c r="Q3359" s="19"/>
      <c r="R3359" s="20"/>
      <c r="S3359" s="30"/>
    </row>
    <row r="3360" spans="1:19" x14ac:dyDescent="0.35">
      <c r="A3360" s="82"/>
      <c r="B3360" s="19"/>
      <c r="C3360" s="19"/>
      <c r="D3360" s="19"/>
      <c r="E3360" s="19"/>
      <c r="F3360" s="19"/>
      <c r="G3360" s="19"/>
      <c r="H3360" s="19"/>
      <c r="I3360" s="19"/>
      <c r="J3360" s="19"/>
      <c r="K3360" s="19"/>
      <c r="L3360" s="19"/>
      <c r="M3360" s="19"/>
      <c r="N3360" s="19"/>
      <c r="O3360" s="19"/>
      <c r="P3360" s="19"/>
      <c r="Q3360" s="19"/>
      <c r="R3360" s="20"/>
    </row>
    <row r="3361" spans="1:19" x14ac:dyDescent="0.35">
      <c r="A3361" s="82"/>
      <c r="B3361" s="19"/>
      <c r="C3361" s="19"/>
      <c r="D3361" s="19"/>
      <c r="E3361" s="19"/>
      <c r="F3361" s="19"/>
      <c r="G3361" s="19"/>
      <c r="H3361" s="19"/>
      <c r="I3361" s="19"/>
      <c r="J3361" s="19"/>
      <c r="K3361" s="19"/>
      <c r="L3361" s="19"/>
      <c r="M3361" s="19"/>
      <c r="N3361" s="19"/>
      <c r="O3361" s="19"/>
      <c r="P3361" s="19"/>
      <c r="Q3361" s="19"/>
      <c r="R3361" s="20"/>
    </row>
    <row r="3362" spans="1:19" x14ac:dyDescent="0.35">
      <c r="A3362" s="81"/>
      <c r="B3362" s="17"/>
      <c r="C3362" s="17"/>
      <c r="D3362" s="17"/>
      <c r="E3362" s="17"/>
      <c r="F3362" s="17"/>
      <c r="G3362" s="17"/>
      <c r="H3362" s="17"/>
      <c r="I3362" s="17"/>
      <c r="J3362" s="17"/>
      <c r="K3362" s="17"/>
      <c r="L3362" s="17"/>
      <c r="M3362" s="17"/>
      <c r="N3362" s="17"/>
      <c r="O3362" s="17"/>
      <c r="P3362" s="17"/>
      <c r="Q3362" s="17"/>
      <c r="R3362" s="18"/>
    </row>
    <row r="3363" spans="1:19" x14ac:dyDescent="0.35">
      <c r="A3363" s="82"/>
      <c r="B3363" s="19"/>
      <c r="C3363" s="19"/>
      <c r="D3363" s="19"/>
      <c r="E3363" s="19"/>
      <c r="F3363" s="19"/>
      <c r="G3363" s="19"/>
      <c r="H3363" s="19"/>
      <c r="I3363" s="19"/>
      <c r="J3363" s="19"/>
      <c r="K3363" s="19"/>
      <c r="L3363" s="19"/>
      <c r="M3363" s="19"/>
      <c r="N3363" s="19"/>
      <c r="O3363" s="19"/>
      <c r="P3363" s="19"/>
      <c r="Q3363" s="19"/>
      <c r="R3363" s="20"/>
    </row>
    <row r="3364" spans="1:19" x14ac:dyDescent="0.35">
      <c r="A3364" s="81"/>
      <c r="B3364" s="17"/>
      <c r="C3364" s="17"/>
      <c r="D3364" s="17"/>
      <c r="E3364" s="17"/>
      <c r="F3364" s="17"/>
      <c r="G3364" s="17"/>
      <c r="H3364" s="17"/>
      <c r="I3364" s="17"/>
      <c r="J3364" s="17"/>
      <c r="K3364" s="17"/>
      <c r="L3364" s="17"/>
      <c r="M3364" s="17"/>
      <c r="N3364" s="17"/>
      <c r="O3364" s="17"/>
      <c r="P3364" s="17"/>
      <c r="Q3364" s="17"/>
      <c r="R3364" s="18"/>
    </row>
    <row r="3365" spans="1:19" x14ac:dyDescent="0.35">
      <c r="A3365" s="81"/>
      <c r="B3365" s="17"/>
      <c r="C3365" s="17"/>
      <c r="D3365" s="17"/>
      <c r="E3365" s="17"/>
      <c r="F3365" s="17"/>
      <c r="G3365" s="17"/>
      <c r="H3365" s="17"/>
      <c r="I3365" s="17"/>
      <c r="J3365" s="17"/>
      <c r="K3365" s="17"/>
      <c r="L3365" s="17"/>
      <c r="M3365" s="17"/>
      <c r="N3365" s="17"/>
      <c r="O3365" s="17"/>
      <c r="P3365" s="17"/>
      <c r="Q3365" s="17"/>
      <c r="R3365" s="18"/>
    </row>
    <row r="3366" spans="1:19" x14ac:dyDescent="0.35">
      <c r="A3366" s="82"/>
      <c r="B3366" s="19"/>
      <c r="C3366" s="19"/>
      <c r="D3366" s="19"/>
      <c r="E3366" s="19"/>
      <c r="F3366" s="19"/>
      <c r="G3366" s="19"/>
      <c r="H3366" s="19"/>
      <c r="I3366" s="19"/>
      <c r="J3366" s="19"/>
      <c r="K3366" s="19"/>
      <c r="L3366" s="19"/>
      <c r="M3366" s="19"/>
      <c r="N3366" s="19"/>
      <c r="O3366" s="19"/>
      <c r="P3366" s="19"/>
      <c r="Q3366" s="19"/>
      <c r="R3366" s="20"/>
    </row>
    <row r="3367" spans="1:19" x14ac:dyDescent="0.35">
      <c r="A3367" s="82"/>
      <c r="B3367" s="19"/>
      <c r="C3367" s="19"/>
      <c r="D3367" s="19"/>
      <c r="E3367" s="19"/>
      <c r="F3367" s="19"/>
      <c r="G3367" s="19"/>
      <c r="H3367" s="19"/>
      <c r="I3367" s="19"/>
      <c r="J3367" s="19"/>
      <c r="K3367" s="19"/>
      <c r="L3367" s="19"/>
      <c r="M3367" s="19"/>
      <c r="N3367" s="19"/>
      <c r="O3367" s="19"/>
      <c r="P3367" s="19"/>
      <c r="Q3367" s="19"/>
      <c r="R3367" s="20"/>
    </row>
    <row r="3368" spans="1:19" x14ac:dyDescent="0.35">
      <c r="A3368" s="82"/>
      <c r="B3368" s="19"/>
      <c r="C3368" s="19"/>
      <c r="D3368" s="19"/>
      <c r="E3368" s="19"/>
      <c r="F3368" s="19"/>
      <c r="G3368" s="19"/>
      <c r="H3368" s="19"/>
      <c r="I3368" s="19"/>
      <c r="J3368" s="19"/>
      <c r="K3368" s="19"/>
      <c r="L3368" s="19"/>
      <c r="M3368" s="19"/>
      <c r="N3368" s="19"/>
      <c r="O3368" s="19"/>
      <c r="P3368" s="19"/>
      <c r="Q3368" s="19"/>
      <c r="R3368" s="20"/>
    </row>
    <row r="3369" spans="1:19" x14ac:dyDescent="0.35">
      <c r="A3369" s="82"/>
      <c r="B3369" s="19"/>
      <c r="C3369" s="19"/>
      <c r="D3369" s="19"/>
      <c r="E3369" s="19"/>
      <c r="F3369" s="19"/>
      <c r="G3369" s="19"/>
      <c r="H3369" s="19"/>
      <c r="I3369" s="19"/>
      <c r="J3369" s="19"/>
      <c r="K3369" s="19"/>
      <c r="L3369" s="19"/>
      <c r="M3369" s="19"/>
      <c r="N3369" s="19"/>
      <c r="O3369" s="19"/>
      <c r="P3369" s="19"/>
      <c r="Q3369" s="19"/>
      <c r="R3369" s="20"/>
    </row>
    <row r="3370" spans="1:19" x14ac:dyDescent="0.35">
      <c r="A3370" s="82"/>
      <c r="B3370" s="19"/>
      <c r="C3370" s="19"/>
      <c r="D3370" s="19"/>
      <c r="E3370" s="19"/>
      <c r="F3370" s="19"/>
      <c r="G3370" s="19"/>
      <c r="H3370" s="19"/>
      <c r="I3370" s="19"/>
      <c r="J3370" s="19"/>
      <c r="K3370" s="19"/>
      <c r="L3370" s="19"/>
      <c r="M3370" s="19"/>
      <c r="N3370" s="19"/>
      <c r="O3370" s="19"/>
      <c r="P3370" s="19"/>
      <c r="Q3370" s="19"/>
      <c r="R3370" s="20"/>
    </row>
    <row r="3371" spans="1:19" x14ac:dyDescent="0.35">
      <c r="A3371" s="81"/>
      <c r="B3371" s="17"/>
      <c r="C3371" s="17"/>
      <c r="D3371" s="17"/>
      <c r="E3371" s="17"/>
      <c r="F3371" s="17"/>
      <c r="G3371" s="17"/>
      <c r="H3371" s="17"/>
      <c r="I3371" s="17"/>
      <c r="J3371" s="17"/>
      <c r="K3371" s="17"/>
      <c r="L3371" s="17"/>
      <c r="M3371" s="17"/>
      <c r="N3371" s="17"/>
      <c r="O3371" s="17"/>
      <c r="P3371" s="17"/>
      <c r="Q3371" s="17"/>
      <c r="R3371" s="18"/>
      <c r="S3371" s="30"/>
    </row>
    <row r="3372" spans="1:19" x14ac:dyDescent="0.35">
      <c r="A3372" s="81"/>
      <c r="B3372" s="17"/>
      <c r="C3372" s="17"/>
      <c r="D3372" s="17"/>
      <c r="E3372" s="17"/>
      <c r="F3372" s="17"/>
      <c r="G3372" s="17"/>
      <c r="H3372" s="17"/>
      <c r="I3372" s="17"/>
      <c r="J3372" s="17"/>
      <c r="K3372" s="17"/>
      <c r="L3372" s="17"/>
      <c r="M3372" s="17"/>
      <c r="N3372" s="17"/>
      <c r="O3372" s="17"/>
      <c r="P3372" s="17"/>
      <c r="Q3372" s="17"/>
      <c r="R3372" s="18"/>
      <c r="S3372" s="30"/>
    </row>
    <row r="3373" spans="1:19" x14ac:dyDescent="0.35">
      <c r="A3373" s="82"/>
      <c r="B3373" s="19"/>
      <c r="C3373" s="19"/>
      <c r="D3373" s="19"/>
      <c r="E3373" s="19"/>
      <c r="F3373" s="19"/>
      <c r="G3373" s="19"/>
      <c r="H3373" s="19"/>
      <c r="I3373" s="19"/>
      <c r="J3373" s="19"/>
      <c r="K3373" s="19"/>
      <c r="L3373" s="19"/>
      <c r="M3373" s="19"/>
      <c r="N3373" s="19"/>
      <c r="O3373" s="19"/>
      <c r="P3373" s="19"/>
      <c r="Q3373" s="19"/>
      <c r="R3373" s="20"/>
    </row>
    <row r="3374" spans="1:19" x14ac:dyDescent="0.35">
      <c r="A3374" s="82"/>
      <c r="B3374" s="19"/>
      <c r="C3374" s="19"/>
      <c r="D3374" s="19"/>
      <c r="E3374" s="19"/>
      <c r="F3374" s="19"/>
      <c r="G3374" s="19"/>
      <c r="H3374" s="19"/>
      <c r="I3374" s="19"/>
      <c r="J3374" s="19"/>
      <c r="K3374" s="19"/>
      <c r="L3374" s="19"/>
      <c r="M3374" s="19"/>
      <c r="N3374" s="19"/>
      <c r="O3374" s="19"/>
      <c r="P3374" s="19"/>
      <c r="Q3374" s="19"/>
      <c r="R3374" s="20"/>
    </row>
    <row r="3375" spans="1:19" x14ac:dyDescent="0.35">
      <c r="A3375" s="82"/>
      <c r="B3375" s="19"/>
      <c r="C3375" s="19"/>
      <c r="D3375" s="19"/>
      <c r="E3375" s="19"/>
      <c r="F3375" s="19"/>
      <c r="G3375" s="19"/>
      <c r="H3375" s="19"/>
      <c r="I3375" s="19"/>
      <c r="J3375" s="19"/>
      <c r="K3375" s="19"/>
      <c r="L3375" s="19"/>
      <c r="M3375" s="19"/>
      <c r="N3375" s="19"/>
      <c r="O3375" s="19"/>
      <c r="P3375" s="19"/>
      <c r="Q3375" s="19"/>
      <c r="R3375" s="20"/>
    </row>
    <row r="3376" spans="1:19" x14ac:dyDescent="0.35">
      <c r="A3376" s="82"/>
      <c r="B3376" s="19"/>
      <c r="C3376" s="19"/>
      <c r="D3376" s="19"/>
      <c r="E3376" s="19"/>
      <c r="F3376" s="19"/>
      <c r="G3376" s="19"/>
      <c r="H3376" s="19"/>
      <c r="I3376" s="19"/>
      <c r="J3376" s="19"/>
      <c r="K3376" s="19"/>
      <c r="L3376" s="19"/>
      <c r="M3376" s="19"/>
      <c r="N3376" s="19"/>
      <c r="O3376" s="19"/>
      <c r="P3376" s="19"/>
      <c r="Q3376" s="19"/>
      <c r="R3376" s="20"/>
    </row>
    <row r="3377" spans="1:19" x14ac:dyDescent="0.35">
      <c r="A3377" s="82"/>
      <c r="B3377" s="19"/>
      <c r="C3377" s="19"/>
      <c r="D3377" s="19"/>
      <c r="E3377" s="19"/>
      <c r="F3377" s="19"/>
      <c r="G3377" s="19"/>
      <c r="H3377" s="19"/>
      <c r="I3377" s="19"/>
      <c r="J3377" s="19"/>
      <c r="K3377" s="19"/>
      <c r="L3377" s="19"/>
      <c r="M3377" s="19"/>
      <c r="N3377" s="19"/>
      <c r="O3377" s="19"/>
      <c r="P3377" s="19"/>
      <c r="Q3377" s="19"/>
      <c r="R3377" s="20"/>
    </row>
    <row r="3378" spans="1:19" x14ac:dyDescent="0.35">
      <c r="A3378" s="81"/>
      <c r="B3378" s="17"/>
      <c r="C3378" s="17"/>
      <c r="D3378" s="17"/>
      <c r="E3378" s="17"/>
      <c r="F3378" s="17"/>
      <c r="G3378" s="17"/>
      <c r="H3378" s="17"/>
      <c r="I3378" s="17"/>
      <c r="J3378" s="17"/>
      <c r="K3378" s="17"/>
      <c r="L3378" s="17"/>
      <c r="M3378" s="17"/>
      <c r="N3378" s="17"/>
      <c r="O3378" s="17"/>
      <c r="P3378" s="17"/>
      <c r="Q3378" s="17"/>
      <c r="R3378" s="18"/>
      <c r="S3378" s="30"/>
    </row>
    <row r="3379" spans="1:19" x14ac:dyDescent="0.35">
      <c r="A3379" s="82"/>
      <c r="B3379" s="19"/>
      <c r="C3379" s="19"/>
      <c r="D3379" s="19"/>
      <c r="E3379" s="19"/>
      <c r="F3379" s="19"/>
      <c r="G3379" s="19"/>
      <c r="H3379" s="19"/>
      <c r="I3379" s="19"/>
      <c r="J3379" s="19"/>
      <c r="K3379" s="19"/>
      <c r="L3379" s="19"/>
      <c r="M3379" s="19"/>
      <c r="N3379" s="19"/>
      <c r="O3379" s="19"/>
      <c r="P3379" s="19"/>
      <c r="Q3379" s="19"/>
      <c r="R3379" s="20"/>
    </row>
    <row r="3380" spans="1:19" x14ac:dyDescent="0.35">
      <c r="A3380" s="82"/>
      <c r="B3380" s="19"/>
      <c r="C3380" s="19"/>
      <c r="D3380" s="19"/>
      <c r="E3380" s="19"/>
      <c r="F3380" s="19"/>
      <c r="G3380" s="19"/>
      <c r="H3380" s="19"/>
      <c r="I3380" s="19"/>
      <c r="J3380" s="19"/>
      <c r="K3380" s="19"/>
      <c r="L3380" s="19"/>
      <c r="M3380" s="19"/>
      <c r="N3380" s="19"/>
      <c r="O3380" s="19"/>
      <c r="P3380" s="19"/>
      <c r="Q3380" s="19"/>
      <c r="R3380" s="20"/>
    </row>
    <row r="3381" spans="1:19" x14ac:dyDescent="0.35">
      <c r="A3381" s="81"/>
      <c r="B3381" s="17"/>
      <c r="C3381" s="17"/>
      <c r="D3381" s="17"/>
      <c r="E3381" s="17"/>
      <c r="F3381" s="17"/>
      <c r="G3381" s="17"/>
      <c r="H3381" s="17"/>
      <c r="I3381" s="17"/>
      <c r="J3381" s="17"/>
      <c r="K3381" s="17"/>
      <c r="L3381" s="17"/>
      <c r="M3381" s="17"/>
      <c r="N3381" s="17"/>
      <c r="O3381" s="17"/>
      <c r="P3381" s="17"/>
      <c r="Q3381" s="17"/>
      <c r="R3381" s="18"/>
      <c r="S3381" s="30"/>
    </row>
    <row r="3382" spans="1:19" x14ac:dyDescent="0.35">
      <c r="A3382" s="81"/>
      <c r="B3382" s="17"/>
      <c r="C3382" s="17"/>
      <c r="D3382" s="17"/>
      <c r="E3382" s="17"/>
      <c r="F3382" s="17"/>
      <c r="G3382" s="17"/>
      <c r="H3382" s="17"/>
      <c r="I3382" s="17"/>
      <c r="J3382" s="17"/>
      <c r="K3382" s="17"/>
      <c r="L3382" s="17"/>
      <c r="M3382" s="17"/>
      <c r="N3382" s="17"/>
      <c r="O3382" s="17"/>
      <c r="P3382" s="17"/>
      <c r="Q3382" s="17"/>
      <c r="R3382" s="18"/>
    </row>
    <row r="3383" spans="1:19" x14ac:dyDescent="0.35">
      <c r="A3383" s="81"/>
      <c r="B3383" s="17"/>
      <c r="C3383" s="17"/>
      <c r="D3383" s="17"/>
      <c r="E3383" s="17"/>
      <c r="F3383" s="17"/>
      <c r="G3383" s="17"/>
      <c r="H3383" s="17"/>
      <c r="I3383" s="17"/>
      <c r="J3383" s="17"/>
      <c r="K3383" s="17"/>
      <c r="L3383" s="17"/>
      <c r="M3383" s="17"/>
      <c r="N3383" s="17"/>
      <c r="O3383" s="17"/>
      <c r="P3383" s="17"/>
      <c r="Q3383" s="17"/>
      <c r="R3383" s="18"/>
    </row>
    <row r="3384" spans="1:19" x14ac:dyDescent="0.35">
      <c r="A3384" s="82"/>
      <c r="B3384" s="19"/>
      <c r="C3384" s="19"/>
      <c r="D3384" s="19"/>
      <c r="E3384" s="19"/>
      <c r="F3384" s="19"/>
      <c r="G3384" s="19"/>
      <c r="H3384" s="19"/>
      <c r="I3384" s="19"/>
      <c r="J3384" s="19"/>
      <c r="K3384" s="19"/>
      <c r="L3384" s="19"/>
      <c r="M3384" s="19"/>
      <c r="N3384" s="19"/>
      <c r="O3384" s="19"/>
      <c r="P3384" s="19"/>
      <c r="Q3384" s="19"/>
      <c r="R3384" s="20"/>
    </row>
    <row r="3385" spans="1:19" x14ac:dyDescent="0.35">
      <c r="A3385" s="82"/>
      <c r="B3385" s="19"/>
      <c r="C3385" s="19"/>
      <c r="D3385" s="19"/>
      <c r="E3385" s="19"/>
      <c r="F3385" s="19"/>
      <c r="G3385" s="19"/>
      <c r="H3385" s="19"/>
      <c r="I3385" s="19"/>
      <c r="J3385" s="19"/>
      <c r="K3385" s="19"/>
      <c r="L3385" s="19"/>
      <c r="M3385" s="19"/>
      <c r="N3385" s="19"/>
      <c r="O3385" s="19"/>
      <c r="P3385" s="19"/>
      <c r="Q3385" s="19"/>
      <c r="R3385" s="20"/>
    </row>
    <row r="3386" spans="1:19" x14ac:dyDescent="0.35">
      <c r="A3386" s="82"/>
      <c r="B3386" s="19"/>
      <c r="C3386" s="19"/>
      <c r="D3386" s="19"/>
      <c r="E3386" s="19"/>
      <c r="F3386" s="19"/>
      <c r="G3386" s="19"/>
      <c r="H3386" s="19"/>
      <c r="I3386" s="19"/>
      <c r="J3386" s="19"/>
      <c r="K3386" s="19"/>
      <c r="L3386" s="19"/>
      <c r="M3386" s="19"/>
      <c r="N3386" s="19"/>
      <c r="O3386" s="19"/>
      <c r="P3386" s="19"/>
      <c r="Q3386" s="19"/>
      <c r="R3386" s="20"/>
    </row>
    <row r="3387" spans="1:19" x14ac:dyDescent="0.35">
      <c r="A3387" s="81"/>
      <c r="B3387" s="17"/>
      <c r="C3387" s="17"/>
      <c r="D3387" s="17"/>
      <c r="E3387" s="17"/>
      <c r="F3387" s="17"/>
      <c r="G3387" s="17"/>
      <c r="H3387" s="17"/>
      <c r="I3387" s="17"/>
      <c r="J3387" s="17"/>
      <c r="K3387" s="17"/>
      <c r="L3387" s="17"/>
      <c r="M3387" s="17"/>
      <c r="N3387" s="17"/>
      <c r="O3387" s="17"/>
      <c r="P3387" s="17"/>
      <c r="Q3387" s="17"/>
      <c r="R3387" s="18"/>
      <c r="S3387" s="30"/>
    </row>
    <row r="3388" spans="1:19" x14ac:dyDescent="0.35">
      <c r="A3388" s="82"/>
      <c r="B3388" s="19"/>
      <c r="C3388" s="19"/>
      <c r="D3388" s="19"/>
      <c r="E3388" s="19"/>
      <c r="F3388" s="19"/>
      <c r="G3388" s="19"/>
      <c r="H3388" s="19"/>
      <c r="I3388" s="19"/>
      <c r="J3388" s="19"/>
      <c r="K3388" s="19"/>
      <c r="L3388" s="19"/>
      <c r="M3388" s="19"/>
      <c r="N3388" s="19"/>
      <c r="O3388" s="19"/>
      <c r="P3388" s="19"/>
      <c r="Q3388" s="19"/>
      <c r="R3388" s="20"/>
    </row>
    <row r="3389" spans="1:19" x14ac:dyDescent="0.35">
      <c r="A3389" s="82"/>
      <c r="B3389" s="19"/>
      <c r="C3389" s="19"/>
      <c r="D3389" s="19"/>
      <c r="E3389" s="19"/>
      <c r="F3389" s="19"/>
      <c r="G3389" s="19"/>
      <c r="H3389" s="19"/>
      <c r="I3389" s="19"/>
      <c r="J3389" s="19"/>
      <c r="K3389" s="19"/>
      <c r="L3389" s="19"/>
      <c r="M3389" s="19"/>
      <c r="N3389" s="19"/>
      <c r="O3389" s="19"/>
      <c r="P3389" s="19"/>
      <c r="Q3389" s="19"/>
      <c r="R3389" s="20"/>
      <c r="S3389" s="30"/>
    </row>
    <row r="3390" spans="1:19" x14ac:dyDescent="0.35">
      <c r="A3390" s="82"/>
      <c r="B3390" s="19"/>
      <c r="C3390" s="19"/>
      <c r="D3390" s="19"/>
      <c r="E3390" s="19"/>
      <c r="F3390" s="19"/>
      <c r="G3390" s="19"/>
      <c r="H3390" s="19"/>
      <c r="I3390" s="19"/>
      <c r="J3390" s="19"/>
      <c r="K3390" s="19"/>
      <c r="L3390" s="19"/>
      <c r="M3390" s="19"/>
      <c r="N3390" s="19"/>
      <c r="O3390" s="19"/>
      <c r="P3390" s="19"/>
      <c r="Q3390" s="19"/>
      <c r="R3390" s="20"/>
      <c r="S3390" s="30"/>
    </row>
    <row r="3391" spans="1:19" x14ac:dyDescent="0.35">
      <c r="A3391" s="82"/>
      <c r="B3391" s="19"/>
      <c r="C3391" s="19"/>
      <c r="D3391" s="19"/>
      <c r="E3391" s="19"/>
      <c r="F3391" s="19"/>
      <c r="G3391" s="19"/>
      <c r="H3391" s="19"/>
      <c r="I3391" s="19"/>
      <c r="J3391" s="19"/>
      <c r="K3391" s="19"/>
      <c r="L3391" s="19"/>
      <c r="M3391" s="19"/>
      <c r="N3391" s="19"/>
      <c r="O3391" s="19"/>
      <c r="P3391" s="19"/>
      <c r="Q3391" s="19"/>
      <c r="R3391" s="20"/>
    </row>
    <row r="3392" spans="1:19" x14ac:dyDescent="0.35">
      <c r="A3392" s="82"/>
      <c r="B3392" s="19"/>
      <c r="C3392" s="19"/>
      <c r="D3392" s="19"/>
      <c r="E3392" s="19"/>
      <c r="F3392" s="19"/>
      <c r="G3392" s="19"/>
      <c r="H3392" s="19"/>
      <c r="I3392" s="19"/>
      <c r="J3392" s="19"/>
      <c r="K3392" s="19"/>
      <c r="L3392" s="19"/>
      <c r="M3392" s="19"/>
      <c r="N3392" s="19"/>
      <c r="O3392" s="19"/>
      <c r="P3392" s="19"/>
      <c r="Q3392" s="19"/>
      <c r="R3392" s="20"/>
    </row>
    <row r="3393" spans="1:19" x14ac:dyDescent="0.35">
      <c r="A3393" s="81"/>
      <c r="B3393" s="17"/>
      <c r="C3393" s="17"/>
      <c r="D3393" s="17"/>
      <c r="E3393" s="17"/>
      <c r="F3393" s="17"/>
      <c r="G3393" s="17"/>
      <c r="H3393" s="17"/>
      <c r="I3393" s="17"/>
      <c r="J3393" s="17"/>
      <c r="K3393" s="17"/>
      <c r="L3393" s="17"/>
      <c r="M3393" s="17"/>
      <c r="N3393" s="17"/>
      <c r="O3393" s="17"/>
      <c r="P3393" s="17"/>
      <c r="Q3393" s="17"/>
      <c r="R3393" s="18"/>
      <c r="S3393" s="30"/>
    </row>
    <row r="3394" spans="1:19" x14ac:dyDescent="0.35">
      <c r="A3394" s="81"/>
      <c r="B3394" s="17"/>
      <c r="C3394" s="17"/>
      <c r="D3394" s="17"/>
      <c r="E3394" s="17"/>
      <c r="F3394" s="17"/>
      <c r="G3394" s="17"/>
      <c r="H3394" s="17"/>
      <c r="I3394" s="17"/>
      <c r="J3394" s="17"/>
      <c r="K3394" s="17"/>
      <c r="L3394" s="17"/>
      <c r="M3394" s="17"/>
      <c r="N3394" s="17"/>
      <c r="O3394" s="17"/>
      <c r="P3394" s="17"/>
      <c r="Q3394" s="17"/>
      <c r="R3394" s="18"/>
      <c r="S3394" s="18"/>
    </row>
    <row r="3395" spans="1:19" x14ac:dyDescent="0.35">
      <c r="A3395" s="82"/>
      <c r="B3395" s="19"/>
      <c r="C3395" s="19"/>
      <c r="D3395" s="19"/>
      <c r="E3395" s="19"/>
      <c r="F3395" s="19"/>
      <c r="G3395" s="19"/>
      <c r="H3395" s="19"/>
      <c r="I3395" s="19"/>
      <c r="J3395" s="19"/>
      <c r="K3395" s="19"/>
      <c r="L3395" s="19"/>
      <c r="M3395" s="19"/>
      <c r="N3395" s="19"/>
      <c r="O3395" s="19"/>
      <c r="P3395" s="19"/>
      <c r="Q3395" s="19"/>
      <c r="R3395" s="20"/>
      <c r="S3395" s="20"/>
    </row>
    <row r="3396" spans="1:19" x14ac:dyDescent="0.35">
      <c r="A3396" s="82"/>
      <c r="B3396" s="19"/>
      <c r="C3396" s="19"/>
      <c r="D3396" s="19"/>
      <c r="E3396" s="19"/>
      <c r="F3396" s="19"/>
      <c r="G3396" s="19"/>
      <c r="H3396" s="19"/>
      <c r="I3396" s="19"/>
      <c r="J3396" s="19"/>
      <c r="K3396" s="19"/>
      <c r="L3396" s="19"/>
      <c r="M3396" s="19"/>
      <c r="N3396" s="19"/>
      <c r="O3396" s="19"/>
      <c r="P3396" s="19"/>
      <c r="Q3396" s="19"/>
      <c r="R3396" s="20"/>
      <c r="S3396" s="20"/>
    </row>
    <row r="3397" spans="1:19" x14ac:dyDescent="0.35">
      <c r="A3397" s="81"/>
      <c r="B3397" s="17"/>
      <c r="C3397" s="17"/>
      <c r="D3397" s="17"/>
      <c r="E3397" s="17"/>
      <c r="F3397" s="17"/>
      <c r="G3397" s="17"/>
      <c r="H3397" s="17"/>
      <c r="I3397" s="17"/>
      <c r="J3397" s="17"/>
      <c r="K3397" s="17"/>
      <c r="L3397" s="19"/>
      <c r="M3397" s="19"/>
      <c r="N3397" s="19"/>
      <c r="O3397" s="17"/>
      <c r="P3397" s="17"/>
      <c r="Q3397" s="17"/>
      <c r="R3397" s="18"/>
      <c r="S3397" s="20"/>
    </row>
    <row r="3398" spans="1:19" x14ac:dyDescent="0.35">
      <c r="A3398" s="82"/>
      <c r="B3398" s="19"/>
      <c r="C3398" s="19"/>
      <c r="D3398" s="19"/>
      <c r="E3398" s="19"/>
      <c r="F3398" s="19"/>
      <c r="G3398" s="19"/>
      <c r="H3398" s="19"/>
      <c r="I3398" s="19"/>
      <c r="J3398" s="19"/>
      <c r="K3398" s="19"/>
      <c r="L3398" s="19"/>
      <c r="M3398" s="19"/>
      <c r="N3398" s="19"/>
      <c r="O3398" s="19"/>
      <c r="P3398" s="19"/>
      <c r="Q3398" s="19"/>
      <c r="R3398" s="20"/>
      <c r="S3398" s="20"/>
    </row>
    <row r="3399" spans="1:19" x14ac:dyDescent="0.35">
      <c r="A3399" s="81"/>
      <c r="B3399" s="17"/>
      <c r="C3399" s="17"/>
      <c r="D3399" s="17"/>
      <c r="E3399" s="17"/>
      <c r="F3399" s="17"/>
      <c r="G3399" s="17"/>
      <c r="H3399" s="17"/>
      <c r="I3399" s="17"/>
      <c r="J3399" s="17"/>
      <c r="K3399" s="17"/>
      <c r="L3399" s="17"/>
      <c r="M3399" s="17"/>
      <c r="N3399" s="17"/>
      <c r="O3399" s="17"/>
      <c r="P3399" s="17"/>
      <c r="Q3399" s="17"/>
      <c r="R3399" s="18"/>
      <c r="S3399" s="18"/>
    </row>
    <row r="3400" spans="1:19" x14ac:dyDescent="0.35">
      <c r="A3400" s="82"/>
      <c r="B3400" s="19"/>
      <c r="C3400" s="19"/>
      <c r="D3400" s="19"/>
      <c r="E3400" s="19"/>
      <c r="F3400" s="19"/>
      <c r="G3400" s="19"/>
      <c r="H3400" s="19"/>
      <c r="I3400" s="19"/>
      <c r="J3400" s="19"/>
      <c r="K3400" s="19"/>
      <c r="L3400" s="19"/>
      <c r="M3400" s="19"/>
      <c r="N3400" s="19"/>
      <c r="O3400" s="19"/>
      <c r="P3400" s="19"/>
      <c r="Q3400" s="19"/>
      <c r="R3400" s="20"/>
      <c r="S3400" s="20"/>
    </row>
    <row r="3401" spans="1:19" x14ac:dyDescent="0.35">
      <c r="A3401" s="82"/>
      <c r="B3401" s="19"/>
      <c r="C3401" s="19"/>
      <c r="D3401" s="19"/>
      <c r="E3401" s="19"/>
      <c r="F3401" s="19"/>
      <c r="G3401" s="19"/>
      <c r="H3401" s="19"/>
      <c r="I3401" s="19"/>
      <c r="J3401" s="19"/>
      <c r="K3401" s="19"/>
      <c r="L3401" s="19"/>
      <c r="M3401" s="19"/>
      <c r="N3401" s="19"/>
      <c r="O3401" s="19"/>
      <c r="P3401" s="19"/>
      <c r="Q3401" s="19"/>
      <c r="R3401" s="20"/>
      <c r="S3401" s="20"/>
    </row>
    <row r="3402" spans="1:19" x14ac:dyDescent="0.35">
      <c r="A3402" s="82"/>
      <c r="B3402" s="19"/>
      <c r="C3402" s="19"/>
      <c r="D3402" s="19"/>
      <c r="E3402" s="19"/>
      <c r="F3402" s="19"/>
      <c r="G3402" s="19"/>
      <c r="H3402" s="19"/>
      <c r="I3402" s="19"/>
      <c r="J3402" s="19"/>
      <c r="K3402" s="19"/>
      <c r="L3402" s="19"/>
      <c r="M3402" s="19"/>
      <c r="N3402" s="19"/>
      <c r="O3402" s="19"/>
      <c r="P3402" s="19"/>
      <c r="Q3402" s="19"/>
      <c r="R3402" s="20"/>
      <c r="S3402" s="20"/>
    </row>
    <row r="3403" spans="1:19" x14ac:dyDescent="0.35">
      <c r="A3403" s="82"/>
      <c r="B3403" s="19"/>
      <c r="C3403" s="19"/>
      <c r="D3403" s="19"/>
      <c r="E3403" s="19"/>
      <c r="F3403" s="19"/>
      <c r="G3403" s="19"/>
      <c r="H3403" s="19"/>
      <c r="I3403" s="19"/>
      <c r="J3403" s="19"/>
      <c r="K3403" s="19"/>
      <c r="L3403" s="19"/>
      <c r="M3403" s="19"/>
      <c r="N3403" s="19"/>
      <c r="O3403" s="19"/>
      <c r="P3403" s="19"/>
      <c r="Q3403" s="19"/>
      <c r="R3403" s="20"/>
      <c r="S3403" s="20"/>
    </row>
    <row r="3404" spans="1:19" x14ac:dyDescent="0.35">
      <c r="A3404" s="82"/>
      <c r="B3404" s="19"/>
      <c r="C3404" s="19"/>
      <c r="D3404" s="19"/>
      <c r="E3404" s="19"/>
      <c r="F3404" s="19"/>
      <c r="G3404" s="19"/>
      <c r="H3404" s="19"/>
      <c r="I3404" s="19"/>
      <c r="J3404" s="19"/>
      <c r="K3404" s="19"/>
      <c r="L3404" s="19"/>
      <c r="M3404" s="19"/>
      <c r="N3404" s="19"/>
      <c r="O3404" s="19"/>
      <c r="P3404" s="19"/>
      <c r="Q3404" s="19"/>
      <c r="R3404" s="20"/>
      <c r="S3404" s="20"/>
    </row>
    <row r="3405" spans="1:19" x14ac:dyDescent="0.35">
      <c r="A3405" s="81"/>
      <c r="B3405" s="17"/>
      <c r="C3405" s="17"/>
      <c r="D3405" s="17"/>
      <c r="E3405" s="17"/>
      <c r="F3405" s="17"/>
      <c r="G3405" s="17"/>
      <c r="H3405" s="17"/>
      <c r="I3405" s="17"/>
      <c r="J3405" s="17"/>
      <c r="K3405" s="17"/>
      <c r="L3405" s="17"/>
      <c r="M3405" s="17"/>
      <c r="N3405" s="17"/>
      <c r="O3405" s="17"/>
      <c r="P3405" s="17"/>
      <c r="Q3405" s="17"/>
      <c r="R3405" s="18"/>
      <c r="S3405" s="20"/>
    </row>
    <row r="3406" spans="1:19" x14ac:dyDescent="0.35">
      <c r="A3406" s="82"/>
      <c r="B3406" s="19"/>
      <c r="C3406" s="19"/>
      <c r="D3406" s="19"/>
      <c r="E3406" s="19"/>
      <c r="F3406" s="19"/>
      <c r="G3406" s="19"/>
      <c r="H3406" s="19"/>
      <c r="I3406" s="19"/>
      <c r="J3406" s="19"/>
      <c r="K3406" s="19"/>
      <c r="L3406" s="19"/>
      <c r="M3406" s="19"/>
      <c r="N3406" s="19"/>
      <c r="O3406" s="19"/>
      <c r="P3406" s="19"/>
      <c r="Q3406" s="19"/>
      <c r="R3406" s="20"/>
      <c r="S3406" s="20"/>
    </row>
    <row r="3407" spans="1:19" x14ac:dyDescent="0.35">
      <c r="A3407" s="82"/>
      <c r="B3407" s="19"/>
      <c r="C3407" s="19"/>
      <c r="D3407" s="19"/>
      <c r="E3407" s="19"/>
      <c r="F3407" s="19"/>
      <c r="G3407" s="19"/>
      <c r="H3407" s="19"/>
      <c r="I3407" s="19"/>
      <c r="J3407" s="19"/>
      <c r="K3407" s="19"/>
      <c r="L3407" s="19"/>
      <c r="M3407" s="19"/>
      <c r="N3407" s="19"/>
      <c r="O3407" s="19"/>
      <c r="P3407" s="19"/>
      <c r="Q3407" s="19"/>
      <c r="R3407" s="20"/>
      <c r="S3407" s="20"/>
    </row>
    <row r="3408" spans="1:19" x14ac:dyDescent="0.35">
      <c r="A3408" s="81"/>
      <c r="B3408" s="17"/>
      <c r="C3408" s="17"/>
      <c r="D3408" s="17"/>
      <c r="E3408" s="17"/>
      <c r="F3408" s="17"/>
      <c r="G3408" s="17"/>
      <c r="H3408" s="17"/>
      <c r="I3408" s="17"/>
      <c r="J3408" s="17"/>
      <c r="K3408" s="17"/>
      <c r="L3408" s="17"/>
      <c r="M3408" s="17"/>
      <c r="N3408" s="17"/>
      <c r="O3408" s="17"/>
      <c r="P3408" s="17"/>
      <c r="Q3408" s="17"/>
      <c r="R3408" s="18"/>
      <c r="S3408" s="20"/>
    </row>
    <row r="3409" spans="1:19" x14ac:dyDescent="0.35">
      <c r="A3409" s="81"/>
      <c r="B3409" s="17"/>
      <c r="C3409" s="17"/>
      <c r="D3409" s="17"/>
      <c r="E3409" s="17"/>
      <c r="F3409" s="17"/>
      <c r="G3409" s="17"/>
      <c r="H3409" s="17"/>
      <c r="I3409" s="17"/>
      <c r="J3409" s="17"/>
      <c r="K3409" s="17"/>
      <c r="L3409" s="17"/>
      <c r="M3409" s="17"/>
      <c r="N3409" s="17"/>
      <c r="O3409" s="17"/>
      <c r="P3409" s="17"/>
      <c r="Q3409" s="17"/>
      <c r="R3409" s="18"/>
      <c r="S3409" s="20"/>
    </row>
    <row r="3410" spans="1:19" x14ac:dyDescent="0.35">
      <c r="A3410" s="81"/>
      <c r="B3410" s="17"/>
      <c r="C3410" s="17"/>
      <c r="D3410" s="17"/>
      <c r="E3410" s="17"/>
      <c r="F3410" s="17"/>
      <c r="G3410" s="17"/>
      <c r="H3410" s="17"/>
      <c r="I3410" s="17"/>
      <c r="J3410" s="17"/>
      <c r="K3410" s="17"/>
      <c r="L3410" s="17"/>
      <c r="M3410" s="17"/>
      <c r="N3410" s="17"/>
      <c r="O3410" s="17"/>
      <c r="P3410" s="17"/>
      <c r="Q3410" s="17"/>
      <c r="R3410" s="18"/>
      <c r="S3410" s="18"/>
    </row>
    <row r="3411" spans="1:19" x14ac:dyDescent="0.35">
      <c r="A3411" s="81"/>
      <c r="B3411" s="17"/>
      <c r="C3411" s="17"/>
      <c r="D3411" s="17"/>
      <c r="E3411" s="17"/>
      <c r="F3411" s="17"/>
      <c r="G3411" s="17"/>
      <c r="H3411" s="17"/>
      <c r="I3411" s="17"/>
      <c r="J3411" s="17"/>
      <c r="K3411" s="17"/>
      <c r="L3411" s="17"/>
      <c r="M3411" s="17"/>
      <c r="N3411" s="17"/>
      <c r="O3411" s="17"/>
      <c r="P3411" s="17"/>
      <c r="Q3411" s="17"/>
      <c r="R3411" s="18"/>
      <c r="S3411" s="20"/>
    </row>
    <row r="3412" spans="1:19" x14ac:dyDescent="0.35">
      <c r="A3412" s="82"/>
      <c r="B3412" s="19"/>
      <c r="C3412" s="19"/>
      <c r="D3412" s="19"/>
      <c r="E3412" s="19"/>
      <c r="F3412" s="19"/>
      <c r="G3412" s="19"/>
      <c r="H3412" s="19"/>
      <c r="I3412" s="19"/>
      <c r="J3412" s="19"/>
      <c r="K3412" s="19"/>
      <c r="L3412" s="19"/>
      <c r="M3412" s="19"/>
      <c r="N3412" s="19"/>
      <c r="O3412" s="19"/>
      <c r="P3412" s="19"/>
      <c r="Q3412" s="19"/>
      <c r="R3412" s="20"/>
      <c r="S3412" s="18"/>
    </row>
    <row r="3413" spans="1:19" x14ac:dyDescent="0.35">
      <c r="A3413" s="82"/>
      <c r="B3413" s="19"/>
      <c r="C3413" s="19"/>
      <c r="D3413" s="19"/>
      <c r="E3413" s="19"/>
      <c r="F3413" s="19"/>
      <c r="G3413" s="19"/>
      <c r="H3413" s="19"/>
      <c r="I3413" s="19"/>
      <c r="J3413" s="19"/>
      <c r="K3413" s="19"/>
      <c r="L3413" s="19"/>
      <c r="M3413" s="19"/>
      <c r="N3413" s="19"/>
      <c r="O3413" s="19"/>
      <c r="P3413" s="19"/>
      <c r="Q3413" s="19"/>
      <c r="R3413" s="20"/>
      <c r="S3413" s="20"/>
    </row>
    <row r="3414" spans="1:19" x14ac:dyDescent="0.35">
      <c r="A3414" s="82"/>
      <c r="B3414" s="19"/>
      <c r="C3414" s="19"/>
      <c r="D3414" s="19"/>
      <c r="E3414" s="19"/>
      <c r="F3414" s="19"/>
      <c r="G3414" s="19"/>
      <c r="H3414" s="19"/>
      <c r="I3414" s="19"/>
      <c r="J3414" s="19"/>
      <c r="K3414" s="19"/>
      <c r="L3414" s="19"/>
      <c r="M3414" s="19"/>
      <c r="N3414" s="19"/>
      <c r="O3414" s="19"/>
      <c r="P3414" s="19"/>
      <c r="Q3414" s="19"/>
      <c r="R3414" s="20"/>
      <c r="S3414" s="20"/>
    </row>
    <row r="3415" spans="1:19" x14ac:dyDescent="0.35">
      <c r="A3415" s="82"/>
      <c r="B3415" s="19"/>
      <c r="C3415" s="19"/>
      <c r="D3415" s="19"/>
      <c r="E3415" s="19"/>
      <c r="F3415" s="19"/>
      <c r="G3415" s="19"/>
      <c r="H3415" s="19"/>
      <c r="I3415" s="19"/>
      <c r="J3415" s="19"/>
      <c r="K3415" s="19"/>
      <c r="L3415" s="19"/>
      <c r="M3415" s="19"/>
      <c r="N3415" s="19"/>
      <c r="O3415" s="19"/>
      <c r="P3415" s="19"/>
      <c r="Q3415" s="19"/>
      <c r="R3415" s="20"/>
      <c r="S3415" s="20"/>
    </row>
    <row r="3416" spans="1:19" x14ac:dyDescent="0.35">
      <c r="A3416" s="81"/>
      <c r="B3416" s="17"/>
      <c r="C3416" s="17"/>
      <c r="D3416" s="17"/>
      <c r="E3416" s="17"/>
      <c r="F3416" s="17"/>
      <c r="G3416" s="17"/>
      <c r="H3416" s="17"/>
      <c r="I3416" s="17"/>
      <c r="J3416" s="17"/>
      <c r="K3416" s="17"/>
      <c r="L3416" s="17"/>
      <c r="M3416" s="17"/>
      <c r="N3416" s="17"/>
      <c r="O3416" s="17"/>
      <c r="P3416" s="17"/>
      <c r="Q3416" s="17"/>
      <c r="R3416" s="18"/>
      <c r="S3416" s="20"/>
    </row>
    <row r="3417" spans="1:19" x14ac:dyDescent="0.35">
      <c r="A3417" s="82"/>
      <c r="B3417" s="19"/>
      <c r="C3417" s="19"/>
      <c r="D3417" s="19"/>
      <c r="E3417" s="19"/>
      <c r="F3417" s="19"/>
      <c r="G3417" s="19"/>
      <c r="H3417" s="19"/>
      <c r="I3417" s="19"/>
      <c r="J3417" s="19"/>
      <c r="K3417" s="19"/>
      <c r="L3417" s="19"/>
      <c r="M3417" s="19"/>
      <c r="N3417" s="19"/>
      <c r="O3417" s="19"/>
      <c r="P3417" s="19"/>
      <c r="Q3417" s="19"/>
      <c r="R3417" s="20"/>
      <c r="S3417" s="20"/>
    </row>
    <row r="3418" spans="1:19" x14ac:dyDescent="0.35">
      <c r="A3418" s="81"/>
      <c r="B3418" s="17"/>
      <c r="C3418" s="17"/>
      <c r="D3418" s="17"/>
      <c r="E3418" s="17"/>
      <c r="F3418" s="17"/>
      <c r="G3418" s="17"/>
      <c r="H3418" s="17"/>
      <c r="I3418" s="17"/>
      <c r="J3418" s="17"/>
      <c r="K3418" s="17"/>
      <c r="L3418" s="17"/>
      <c r="M3418" s="17"/>
      <c r="N3418" s="17"/>
      <c r="O3418" s="17"/>
      <c r="P3418" s="17"/>
      <c r="Q3418" s="17"/>
      <c r="R3418" s="18"/>
      <c r="S3418" s="20"/>
    </row>
    <row r="3419" spans="1:19" x14ac:dyDescent="0.35">
      <c r="A3419" s="82"/>
      <c r="B3419" s="19"/>
      <c r="C3419" s="19"/>
      <c r="D3419" s="19"/>
      <c r="E3419" s="19"/>
      <c r="F3419" s="19"/>
      <c r="G3419" s="19"/>
      <c r="H3419" s="19"/>
      <c r="I3419" s="19"/>
      <c r="J3419" s="19"/>
      <c r="K3419" s="19"/>
      <c r="L3419" s="19"/>
      <c r="M3419" s="19"/>
      <c r="N3419" s="19"/>
      <c r="O3419" s="19"/>
      <c r="P3419" s="19"/>
      <c r="Q3419" s="19"/>
      <c r="R3419" s="20"/>
      <c r="S3419" s="20"/>
    </row>
    <row r="3420" spans="1:19" x14ac:dyDescent="0.35">
      <c r="A3420" s="82"/>
      <c r="B3420" s="19"/>
      <c r="C3420" s="19"/>
      <c r="D3420" s="19"/>
      <c r="E3420" s="19"/>
      <c r="F3420" s="19"/>
      <c r="G3420" s="19"/>
      <c r="H3420" s="19"/>
      <c r="I3420" s="19"/>
      <c r="J3420" s="19"/>
      <c r="K3420" s="19"/>
      <c r="L3420" s="19"/>
      <c r="M3420" s="19"/>
      <c r="N3420" s="19"/>
      <c r="O3420" s="19"/>
      <c r="P3420" s="19"/>
      <c r="Q3420" s="19"/>
      <c r="R3420" s="20"/>
      <c r="S3420" s="20"/>
    </row>
    <row r="3421" spans="1:19" x14ac:dyDescent="0.35">
      <c r="A3421" s="82"/>
      <c r="B3421" s="19"/>
      <c r="C3421" s="19"/>
      <c r="D3421" s="19"/>
      <c r="E3421" s="19"/>
      <c r="F3421" s="19"/>
      <c r="G3421" s="19"/>
      <c r="H3421" s="19"/>
      <c r="I3421" s="19"/>
      <c r="J3421" s="19"/>
      <c r="K3421" s="19"/>
      <c r="L3421" s="19"/>
      <c r="M3421" s="19"/>
      <c r="N3421" s="19"/>
      <c r="O3421" s="19"/>
      <c r="P3421" s="19"/>
      <c r="Q3421" s="19"/>
      <c r="R3421" s="20"/>
      <c r="S3421" s="20"/>
    </row>
    <row r="3422" spans="1:19" x14ac:dyDescent="0.35">
      <c r="A3422" s="82"/>
      <c r="B3422" s="19"/>
      <c r="C3422" s="19"/>
      <c r="D3422" s="19"/>
      <c r="E3422" s="19"/>
      <c r="F3422" s="19"/>
      <c r="G3422" s="19"/>
      <c r="H3422" s="19"/>
      <c r="I3422" s="19"/>
      <c r="J3422" s="19"/>
      <c r="K3422" s="19"/>
      <c r="L3422" s="19"/>
      <c r="M3422" s="19"/>
      <c r="N3422" s="19"/>
      <c r="O3422" s="19"/>
      <c r="P3422" s="19"/>
      <c r="Q3422" s="19"/>
      <c r="R3422" s="20"/>
      <c r="S3422" s="20"/>
    </row>
    <row r="3423" spans="1:19" x14ac:dyDescent="0.35">
      <c r="A3423" s="81"/>
      <c r="B3423" s="17"/>
      <c r="C3423" s="17"/>
      <c r="D3423" s="17"/>
      <c r="E3423" s="17"/>
      <c r="F3423" s="17"/>
      <c r="G3423" s="17"/>
      <c r="H3423" s="17"/>
      <c r="I3423" s="17"/>
      <c r="J3423" s="17"/>
      <c r="K3423" s="17"/>
      <c r="L3423" s="17"/>
      <c r="M3423" s="17"/>
      <c r="N3423" s="17"/>
      <c r="O3423" s="17"/>
      <c r="P3423" s="17"/>
      <c r="Q3423" s="17"/>
      <c r="R3423" s="18"/>
      <c r="S3423" s="18"/>
    </row>
    <row r="3424" spans="1:19" x14ac:dyDescent="0.35">
      <c r="A3424" s="81"/>
      <c r="B3424" s="17"/>
      <c r="C3424" s="17"/>
      <c r="D3424" s="17"/>
      <c r="E3424" s="17"/>
      <c r="F3424" s="17"/>
      <c r="G3424" s="17"/>
      <c r="H3424" s="17"/>
      <c r="I3424" s="17"/>
      <c r="J3424" s="17"/>
      <c r="K3424" s="17"/>
      <c r="L3424" s="17"/>
      <c r="M3424" s="17"/>
      <c r="N3424" s="17"/>
      <c r="O3424" s="17"/>
      <c r="P3424" s="17"/>
      <c r="Q3424" s="17"/>
      <c r="R3424" s="18"/>
      <c r="S3424" s="20"/>
    </row>
    <row r="3425" spans="1:19" x14ac:dyDescent="0.35">
      <c r="A3425" s="82"/>
      <c r="B3425" s="19"/>
      <c r="C3425" s="19"/>
      <c r="D3425" s="19"/>
      <c r="E3425" s="19"/>
      <c r="F3425" s="19"/>
      <c r="G3425" s="19"/>
      <c r="H3425" s="19"/>
      <c r="I3425" s="19"/>
      <c r="J3425" s="19"/>
      <c r="K3425" s="19"/>
      <c r="L3425" s="19"/>
      <c r="M3425" s="19"/>
      <c r="N3425" s="19"/>
      <c r="O3425" s="19"/>
      <c r="P3425" s="19"/>
      <c r="Q3425" s="19"/>
      <c r="R3425" s="20"/>
      <c r="S3425" s="20"/>
    </row>
    <row r="3426" spans="1:19" x14ac:dyDescent="0.35">
      <c r="A3426" s="82"/>
      <c r="B3426" s="19"/>
      <c r="C3426" s="19"/>
      <c r="D3426" s="19"/>
      <c r="E3426" s="19"/>
      <c r="F3426" s="19"/>
      <c r="G3426" s="19"/>
      <c r="H3426" s="19"/>
      <c r="I3426" s="19"/>
      <c r="J3426" s="19"/>
      <c r="K3426" s="19"/>
      <c r="L3426" s="19"/>
      <c r="M3426" s="19"/>
      <c r="N3426" s="19"/>
      <c r="O3426" s="19"/>
      <c r="P3426" s="19"/>
      <c r="Q3426" s="19"/>
      <c r="R3426" s="20"/>
      <c r="S3426" s="18"/>
    </row>
    <row r="3427" spans="1:19" x14ac:dyDescent="0.35">
      <c r="A3427" s="82"/>
      <c r="B3427" s="19"/>
      <c r="C3427" s="19"/>
      <c r="D3427" s="19"/>
      <c r="E3427" s="19"/>
      <c r="F3427" s="19"/>
      <c r="G3427" s="19"/>
      <c r="H3427" s="19"/>
      <c r="I3427" s="19"/>
      <c r="J3427" s="19"/>
      <c r="K3427" s="19"/>
      <c r="L3427" s="19"/>
      <c r="M3427" s="19"/>
      <c r="N3427" s="19"/>
      <c r="O3427" s="19"/>
      <c r="P3427" s="19"/>
      <c r="Q3427" s="19"/>
      <c r="R3427" s="20"/>
      <c r="S3427" s="20"/>
    </row>
    <row r="3428" spans="1:19" x14ac:dyDescent="0.35">
      <c r="A3428" s="82"/>
      <c r="B3428" s="19"/>
      <c r="C3428" s="19"/>
      <c r="D3428" s="19"/>
      <c r="E3428" s="19"/>
      <c r="F3428" s="19"/>
      <c r="G3428" s="19"/>
      <c r="H3428" s="19"/>
      <c r="I3428" s="19"/>
      <c r="J3428" s="19"/>
      <c r="K3428" s="19"/>
      <c r="L3428" s="19"/>
      <c r="M3428" s="19"/>
      <c r="N3428" s="19"/>
      <c r="O3428" s="19"/>
      <c r="P3428" s="19"/>
      <c r="Q3428" s="19"/>
      <c r="R3428" s="20"/>
      <c r="S3428" s="20"/>
    </row>
    <row r="3429" spans="1:19" x14ac:dyDescent="0.35">
      <c r="A3429" s="81"/>
      <c r="B3429" s="17"/>
      <c r="C3429" s="17"/>
      <c r="D3429" s="17"/>
      <c r="E3429" s="17"/>
      <c r="F3429" s="17"/>
      <c r="G3429" s="17"/>
      <c r="H3429" s="17"/>
      <c r="I3429" s="17"/>
      <c r="J3429" s="17"/>
      <c r="K3429" s="17"/>
      <c r="L3429" s="17"/>
      <c r="M3429" s="17"/>
      <c r="N3429" s="17"/>
      <c r="O3429" s="17"/>
      <c r="P3429" s="17"/>
      <c r="Q3429" s="17"/>
      <c r="R3429" s="18"/>
      <c r="S3429" s="18"/>
    </row>
    <row r="3430" spans="1:19" x14ac:dyDescent="0.35">
      <c r="A3430" s="82"/>
      <c r="B3430" s="19"/>
      <c r="C3430" s="19"/>
      <c r="D3430" s="19"/>
      <c r="E3430" s="19"/>
      <c r="F3430" s="19"/>
      <c r="G3430" s="19"/>
      <c r="H3430" s="19"/>
      <c r="I3430" s="19"/>
      <c r="J3430" s="19"/>
      <c r="K3430" s="19"/>
      <c r="L3430" s="19"/>
      <c r="M3430" s="19"/>
      <c r="N3430" s="19"/>
      <c r="O3430" s="19"/>
      <c r="P3430" s="19"/>
      <c r="Q3430" s="19"/>
      <c r="R3430" s="20"/>
      <c r="S3430" s="20"/>
    </row>
    <row r="3431" spans="1:19" x14ac:dyDescent="0.35">
      <c r="A3431" s="82"/>
      <c r="B3431" s="19"/>
      <c r="C3431" s="19"/>
      <c r="D3431" s="19"/>
      <c r="E3431" s="19"/>
      <c r="F3431" s="19"/>
      <c r="G3431" s="19"/>
      <c r="H3431" s="19"/>
      <c r="I3431" s="19"/>
      <c r="J3431" s="19"/>
      <c r="K3431" s="19"/>
      <c r="L3431" s="19"/>
      <c r="M3431" s="19"/>
      <c r="N3431" s="19"/>
      <c r="O3431" s="19"/>
      <c r="P3431" s="19"/>
      <c r="Q3431" s="19"/>
      <c r="R3431" s="20"/>
      <c r="S3431" s="20"/>
    </row>
    <row r="3432" spans="1:19" x14ac:dyDescent="0.35">
      <c r="A3432" s="81"/>
      <c r="B3432" s="17"/>
      <c r="C3432" s="17"/>
      <c r="D3432" s="17"/>
      <c r="E3432" s="17"/>
      <c r="F3432" s="17"/>
      <c r="G3432" s="17"/>
      <c r="H3432" s="17"/>
      <c r="I3432" s="17"/>
      <c r="J3432" s="17"/>
      <c r="K3432" s="17"/>
      <c r="L3432" s="17"/>
      <c r="M3432" s="17"/>
      <c r="N3432" s="17"/>
      <c r="O3432" s="17"/>
      <c r="P3432" s="17"/>
      <c r="Q3432" s="17"/>
      <c r="R3432" s="18"/>
      <c r="S3432" s="20"/>
    </row>
    <row r="3433" spans="1:19" x14ac:dyDescent="0.35">
      <c r="A3433" s="81"/>
      <c r="B3433" s="17"/>
      <c r="C3433" s="17"/>
      <c r="D3433" s="17"/>
      <c r="E3433" s="17"/>
      <c r="F3433" s="17"/>
      <c r="G3433" s="17"/>
      <c r="H3433" s="17"/>
      <c r="I3433" s="17"/>
      <c r="J3433" s="17"/>
      <c r="K3433" s="17"/>
      <c r="L3433" s="17"/>
      <c r="M3433" s="17"/>
      <c r="N3433" s="17"/>
      <c r="O3433" s="17"/>
      <c r="P3433" s="17"/>
      <c r="Q3433" s="17"/>
      <c r="R3433" s="18"/>
      <c r="S3433" s="18"/>
    </row>
    <row r="3434" spans="1:19" x14ac:dyDescent="0.35">
      <c r="A3434" s="82"/>
      <c r="B3434" s="19"/>
      <c r="C3434" s="19"/>
      <c r="D3434" s="19"/>
      <c r="E3434" s="19"/>
      <c r="F3434" s="19"/>
      <c r="G3434" s="19"/>
      <c r="H3434" s="19"/>
      <c r="I3434" s="19"/>
      <c r="J3434" s="19"/>
      <c r="K3434" s="19"/>
      <c r="L3434" s="19"/>
      <c r="M3434" s="19"/>
      <c r="N3434" s="19"/>
      <c r="O3434" s="19"/>
      <c r="P3434" s="19"/>
      <c r="Q3434" s="19"/>
      <c r="R3434" s="20"/>
      <c r="S3434" s="20"/>
    </row>
    <row r="3435" spans="1:19" x14ac:dyDescent="0.35">
      <c r="A3435" s="82"/>
      <c r="B3435" s="19"/>
      <c r="C3435" s="19"/>
      <c r="D3435" s="19"/>
      <c r="E3435" s="19"/>
      <c r="F3435" s="19"/>
      <c r="G3435" s="19"/>
      <c r="H3435" s="19"/>
      <c r="I3435" s="19"/>
      <c r="J3435" s="19"/>
      <c r="K3435" s="19"/>
      <c r="L3435" s="19"/>
      <c r="M3435" s="19"/>
      <c r="N3435" s="19"/>
      <c r="O3435" s="19"/>
      <c r="P3435" s="19"/>
      <c r="Q3435" s="19"/>
      <c r="R3435" s="20"/>
      <c r="S3435" s="20"/>
    </row>
    <row r="3436" spans="1:19" x14ac:dyDescent="0.35">
      <c r="A3436" s="82"/>
      <c r="B3436" s="19"/>
      <c r="C3436" s="19"/>
      <c r="D3436" s="19"/>
      <c r="E3436" s="19"/>
      <c r="F3436" s="19"/>
      <c r="G3436" s="19"/>
      <c r="H3436" s="19"/>
      <c r="I3436" s="19"/>
      <c r="J3436" s="19"/>
      <c r="K3436" s="19"/>
      <c r="L3436" s="19"/>
      <c r="M3436" s="19"/>
      <c r="N3436" s="19"/>
      <c r="O3436" s="19"/>
      <c r="P3436" s="19"/>
      <c r="Q3436" s="19"/>
      <c r="R3436" s="20"/>
      <c r="S3436" s="18"/>
    </row>
    <row r="3437" spans="1:19" x14ac:dyDescent="0.35">
      <c r="A3437" s="82"/>
      <c r="B3437" s="19"/>
      <c r="C3437" s="19"/>
      <c r="D3437" s="19"/>
      <c r="E3437" s="19"/>
      <c r="F3437" s="19"/>
      <c r="G3437" s="19"/>
      <c r="H3437" s="19"/>
      <c r="I3437" s="19"/>
      <c r="J3437" s="19"/>
      <c r="K3437" s="19"/>
      <c r="L3437" s="19"/>
      <c r="M3437" s="19"/>
      <c r="N3437" s="19"/>
      <c r="O3437" s="19"/>
      <c r="P3437" s="19"/>
      <c r="Q3437" s="19"/>
      <c r="R3437" s="20"/>
      <c r="S3437" s="20"/>
    </row>
    <row r="3438" spans="1:19" x14ac:dyDescent="0.35">
      <c r="A3438" s="82"/>
      <c r="B3438" s="19"/>
      <c r="C3438" s="19"/>
      <c r="D3438" s="19"/>
      <c r="E3438" s="19"/>
      <c r="F3438" s="19"/>
      <c r="G3438" s="19"/>
      <c r="H3438" s="19"/>
      <c r="I3438" s="19"/>
      <c r="J3438" s="19"/>
      <c r="K3438" s="19"/>
      <c r="L3438" s="19"/>
      <c r="M3438" s="19"/>
      <c r="N3438" s="19"/>
      <c r="O3438" s="19"/>
      <c r="P3438" s="19"/>
      <c r="Q3438" s="19"/>
      <c r="R3438" s="20"/>
      <c r="S3438" s="20"/>
    </row>
    <row r="3439" spans="1:19" x14ac:dyDescent="0.35">
      <c r="A3439" s="82"/>
      <c r="B3439" s="19"/>
      <c r="C3439" s="19"/>
      <c r="D3439" s="19"/>
      <c r="E3439" s="19"/>
      <c r="F3439" s="19"/>
      <c r="G3439" s="19"/>
      <c r="H3439" s="19"/>
      <c r="I3439" s="19"/>
      <c r="J3439" s="19"/>
      <c r="K3439" s="19"/>
      <c r="L3439" s="19"/>
      <c r="M3439" s="19"/>
      <c r="N3439" s="19"/>
      <c r="O3439" s="19"/>
      <c r="P3439" s="19"/>
      <c r="Q3439" s="19"/>
      <c r="R3439" s="20"/>
      <c r="S3439" s="20"/>
    </row>
    <row r="3440" spans="1:19" x14ac:dyDescent="0.35">
      <c r="A3440" s="81"/>
      <c r="B3440" s="17"/>
      <c r="C3440" s="17"/>
      <c r="D3440" s="17"/>
      <c r="E3440" s="17"/>
      <c r="F3440" s="17"/>
      <c r="G3440" s="17"/>
      <c r="H3440" s="17"/>
      <c r="I3440" s="17"/>
      <c r="J3440" s="17"/>
      <c r="K3440" s="17"/>
      <c r="L3440" s="17"/>
      <c r="M3440" s="17"/>
      <c r="N3440" s="17"/>
      <c r="O3440" s="17"/>
      <c r="P3440" s="17"/>
      <c r="Q3440" s="17"/>
      <c r="R3440" s="18"/>
      <c r="S3440" s="20"/>
    </row>
    <row r="3441" spans="1:19" x14ac:dyDescent="0.35">
      <c r="A3441" s="81"/>
      <c r="B3441" s="17"/>
      <c r="C3441" s="17"/>
      <c r="D3441" s="17"/>
      <c r="E3441" s="17"/>
      <c r="F3441" s="17"/>
      <c r="G3441" s="17"/>
      <c r="H3441" s="17"/>
      <c r="I3441" s="17"/>
      <c r="J3441" s="17"/>
      <c r="K3441" s="17"/>
      <c r="L3441" s="17"/>
      <c r="M3441" s="17"/>
      <c r="N3441" s="17"/>
      <c r="O3441" s="17"/>
      <c r="P3441" s="17"/>
      <c r="Q3441" s="17"/>
      <c r="R3441" s="18"/>
      <c r="S3441" s="18"/>
    </row>
    <row r="3442" spans="1:19" x14ac:dyDescent="0.35">
      <c r="A3442" s="82"/>
      <c r="B3442" s="19"/>
      <c r="C3442" s="19"/>
      <c r="D3442" s="19"/>
      <c r="E3442" s="19"/>
      <c r="F3442" s="19"/>
      <c r="G3442" s="19"/>
      <c r="H3442" s="19"/>
      <c r="I3442" s="19"/>
      <c r="J3442" s="19"/>
      <c r="K3442" s="19"/>
      <c r="L3442" s="19"/>
      <c r="M3442" s="19"/>
      <c r="N3442" s="19"/>
      <c r="O3442" s="19"/>
      <c r="P3442" s="19"/>
      <c r="Q3442" s="19"/>
      <c r="R3442" s="20"/>
      <c r="S3442" s="20"/>
    </row>
    <row r="3443" spans="1:19" x14ac:dyDescent="0.35">
      <c r="A3443" s="81"/>
      <c r="B3443" s="17"/>
      <c r="C3443" s="17"/>
      <c r="D3443" s="17"/>
      <c r="E3443" s="17"/>
      <c r="F3443" s="17"/>
      <c r="G3443" s="17"/>
      <c r="H3443" s="17"/>
      <c r="I3443" s="17"/>
      <c r="J3443" s="17"/>
      <c r="K3443" s="17"/>
      <c r="L3443" s="17"/>
      <c r="M3443" s="17"/>
      <c r="N3443" s="17"/>
      <c r="O3443" s="17"/>
      <c r="P3443" s="17"/>
      <c r="Q3443" s="17"/>
      <c r="R3443" s="18"/>
      <c r="S3443" s="20"/>
    </row>
    <row r="3444" spans="1:19" x14ac:dyDescent="0.35">
      <c r="A3444" s="82"/>
      <c r="B3444" s="19"/>
      <c r="C3444" s="19"/>
      <c r="D3444" s="19"/>
      <c r="E3444" s="19"/>
      <c r="F3444" s="19"/>
      <c r="G3444" s="19"/>
      <c r="H3444" s="19"/>
      <c r="I3444" s="19"/>
      <c r="J3444" s="19"/>
      <c r="K3444" s="19"/>
      <c r="L3444" s="19"/>
      <c r="M3444" s="19"/>
      <c r="N3444" s="19"/>
      <c r="O3444" s="19"/>
      <c r="P3444" s="19"/>
      <c r="Q3444" s="19"/>
      <c r="R3444" s="20"/>
      <c r="S3444" s="20"/>
    </row>
    <row r="3445" spans="1:19" x14ac:dyDescent="0.35">
      <c r="A3445" s="82"/>
      <c r="B3445" s="19"/>
      <c r="C3445" s="19"/>
      <c r="D3445" s="19"/>
      <c r="E3445" s="19"/>
      <c r="F3445" s="19"/>
      <c r="G3445" s="19"/>
      <c r="H3445" s="19"/>
      <c r="I3445" s="19"/>
      <c r="J3445" s="19"/>
      <c r="K3445" s="19"/>
      <c r="L3445" s="19"/>
      <c r="M3445" s="19"/>
      <c r="N3445" s="19"/>
      <c r="O3445" s="19"/>
      <c r="P3445" s="19"/>
      <c r="Q3445" s="19"/>
      <c r="R3445" s="20"/>
      <c r="S3445" s="20"/>
    </row>
    <row r="3446" spans="1:19" x14ac:dyDescent="0.35">
      <c r="A3446" s="81"/>
      <c r="B3446" s="17"/>
      <c r="C3446" s="17"/>
      <c r="D3446" s="17"/>
      <c r="E3446" s="17"/>
      <c r="F3446" s="17"/>
      <c r="G3446" s="17"/>
      <c r="H3446" s="17"/>
      <c r="I3446" s="17"/>
      <c r="J3446" s="17"/>
      <c r="K3446" s="17"/>
      <c r="L3446" s="17"/>
      <c r="M3446" s="17"/>
      <c r="N3446" s="17"/>
      <c r="O3446" s="17"/>
      <c r="P3446" s="17"/>
      <c r="Q3446" s="17"/>
      <c r="R3446" s="18"/>
      <c r="S3446" s="18"/>
    </row>
    <row r="3447" spans="1:19" x14ac:dyDescent="0.35">
      <c r="A3447" s="82"/>
      <c r="B3447" s="19"/>
      <c r="C3447" s="19"/>
      <c r="D3447" s="19"/>
      <c r="E3447" s="19"/>
      <c r="F3447" s="19"/>
      <c r="G3447" s="19"/>
      <c r="H3447" s="19"/>
      <c r="I3447" s="19"/>
      <c r="J3447" s="19"/>
      <c r="K3447" s="19"/>
      <c r="L3447" s="19"/>
      <c r="M3447" s="19"/>
      <c r="N3447" s="19"/>
      <c r="O3447" s="19"/>
      <c r="P3447" s="19"/>
      <c r="Q3447" s="19"/>
      <c r="R3447" s="20"/>
      <c r="S3447" s="20"/>
    </row>
    <row r="3448" spans="1:19" x14ac:dyDescent="0.35">
      <c r="A3448" s="82"/>
      <c r="B3448" s="19"/>
      <c r="C3448" s="19"/>
      <c r="D3448" s="19"/>
      <c r="E3448" s="19"/>
      <c r="F3448" s="19"/>
      <c r="G3448" s="19"/>
      <c r="H3448" s="19"/>
      <c r="I3448" s="19"/>
      <c r="J3448" s="19"/>
      <c r="K3448" s="19"/>
      <c r="L3448" s="19"/>
      <c r="M3448" s="19"/>
      <c r="N3448" s="19"/>
      <c r="O3448" s="19"/>
      <c r="P3448" s="19"/>
      <c r="Q3448" s="19"/>
      <c r="R3448" s="20"/>
      <c r="S3448" s="20"/>
    </row>
    <row r="3449" spans="1:19" x14ac:dyDescent="0.35">
      <c r="A3449" s="82"/>
      <c r="B3449" s="19"/>
      <c r="C3449" s="19"/>
      <c r="D3449" s="19"/>
      <c r="E3449" s="19"/>
      <c r="F3449" s="19"/>
      <c r="G3449" s="19"/>
      <c r="H3449" s="19"/>
      <c r="I3449" s="19"/>
      <c r="J3449" s="19"/>
      <c r="K3449" s="19"/>
      <c r="L3449" s="19"/>
      <c r="M3449" s="19"/>
      <c r="N3449" s="19"/>
      <c r="O3449" s="19"/>
      <c r="P3449" s="19"/>
      <c r="Q3449" s="19"/>
      <c r="R3449" s="20"/>
      <c r="S3449" s="20"/>
    </row>
    <row r="3450" spans="1:19" x14ac:dyDescent="0.35">
      <c r="A3450" s="82"/>
      <c r="B3450" s="19"/>
      <c r="C3450" s="19"/>
      <c r="D3450" s="19"/>
      <c r="E3450" s="19"/>
      <c r="F3450" s="19"/>
      <c r="G3450" s="19"/>
      <c r="H3450" s="19"/>
      <c r="I3450" s="19"/>
      <c r="J3450" s="19"/>
      <c r="K3450" s="19"/>
      <c r="L3450" s="19"/>
      <c r="M3450" s="19"/>
      <c r="N3450" s="19"/>
      <c r="O3450" s="19"/>
      <c r="P3450" s="19"/>
      <c r="Q3450" s="19"/>
      <c r="R3450" s="20"/>
      <c r="S3450" s="20"/>
    </row>
    <row r="3451" spans="1:19" x14ac:dyDescent="0.35">
      <c r="A3451" s="82"/>
      <c r="B3451" s="19"/>
      <c r="C3451" s="19"/>
      <c r="D3451" s="19"/>
      <c r="E3451" s="19"/>
      <c r="F3451" s="19"/>
      <c r="G3451" s="19"/>
      <c r="H3451" s="19"/>
      <c r="I3451" s="19"/>
      <c r="J3451" s="19"/>
      <c r="K3451" s="19"/>
      <c r="L3451" s="19"/>
      <c r="M3451" s="19"/>
      <c r="N3451" s="19"/>
      <c r="O3451" s="19"/>
      <c r="P3451" s="19"/>
      <c r="Q3451" s="19"/>
      <c r="R3451" s="20"/>
      <c r="S3451" s="20"/>
    </row>
    <row r="3452" spans="1:19" x14ac:dyDescent="0.35">
      <c r="A3452" s="82"/>
      <c r="B3452" s="19"/>
      <c r="C3452" s="19"/>
      <c r="D3452" s="19"/>
      <c r="E3452" s="19"/>
      <c r="F3452" s="19"/>
      <c r="G3452" s="19"/>
      <c r="H3452" s="19"/>
      <c r="I3452" s="19"/>
      <c r="J3452" s="19"/>
      <c r="K3452" s="19"/>
      <c r="L3452" s="19"/>
      <c r="M3452" s="19"/>
      <c r="N3452" s="19"/>
      <c r="O3452" s="19"/>
      <c r="P3452" s="19"/>
      <c r="Q3452" s="19"/>
      <c r="R3452" s="20"/>
      <c r="S3452" s="20"/>
    </row>
    <row r="3453" spans="1:19" x14ac:dyDescent="0.35">
      <c r="A3453" s="82"/>
      <c r="B3453" s="19"/>
      <c r="C3453" s="19"/>
      <c r="D3453" s="19"/>
      <c r="E3453" s="19"/>
      <c r="F3453" s="19"/>
      <c r="G3453" s="19"/>
      <c r="H3453" s="19"/>
      <c r="I3453" s="19"/>
      <c r="J3453" s="19"/>
      <c r="K3453" s="19"/>
      <c r="L3453" s="19"/>
      <c r="M3453" s="19"/>
      <c r="N3453" s="19"/>
      <c r="O3453" s="19"/>
      <c r="P3453" s="19"/>
      <c r="Q3453" s="19"/>
      <c r="R3453" s="20"/>
      <c r="S3453" s="20"/>
    </row>
    <row r="3454" spans="1:19" x14ac:dyDescent="0.35">
      <c r="A3454" s="82"/>
      <c r="B3454" s="19"/>
      <c r="C3454" s="19"/>
      <c r="D3454" s="19"/>
      <c r="E3454" s="19"/>
      <c r="F3454" s="19"/>
      <c r="G3454" s="19"/>
      <c r="H3454" s="19"/>
      <c r="I3454" s="19"/>
      <c r="J3454" s="19"/>
      <c r="K3454" s="19"/>
      <c r="L3454" s="19"/>
      <c r="M3454" s="19"/>
      <c r="N3454" s="19"/>
      <c r="O3454" s="19"/>
      <c r="P3454" s="19"/>
      <c r="Q3454" s="19"/>
      <c r="R3454" s="20"/>
      <c r="S3454" s="20"/>
    </row>
    <row r="3455" spans="1:19" x14ac:dyDescent="0.35">
      <c r="A3455" s="82"/>
      <c r="B3455" s="19"/>
      <c r="C3455" s="19"/>
      <c r="D3455" s="19"/>
      <c r="E3455" s="19"/>
      <c r="F3455" s="19"/>
      <c r="G3455" s="19"/>
      <c r="H3455" s="19"/>
      <c r="I3455" s="19"/>
      <c r="J3455" s="19"/>
      <c r="K3455" s="19"/>
      <c r="L3455" s="19"/>
      <c r="M3455" s="19"/>
      <c r="N3455" s="19"/>
      <c r="O3455" s="19"/>
      <c r="P3455" s="19"/>
      <c r="Q3455" s="19"/>
      <c r="R3455" s="20"/>
      <c r="S3455" s="20"/>
    </row>
    <row r="3456" spans="1:19" x14ac:dyDescent="0.35">
      <c r="A3456" s="82"/>
      <c r="B3456" s="19"/>
      <c r="C3456" s="19"/>
      <c r="D3456" s="19"/>
      <c r="E3456" s="19"/>
      <c r="F3456" s="19"/>
      <c r="G3456" s="19"/>
      <c r="H3456" s="19"/>
      <c r="I3456" s="19"/>
      <c r="J3456" s="19"/>
      <c r="K3456" s="19"/>
      <c r="L3456" s="19"/>
      <c r="M3456" s="19"/>
      <c r="N3456" s="19"/>
      <c r="O3456" s="19"/>
      <c r="P3456" s="19"/>
      <c r="Q3456" s="19"/>
      <c r="R3456" s="20"/>
      <c r="S3456" s="18"/>
    </row>
    <row r="3457" spans="1:19" x14ac:dyDescent="0.35">
      <c r="A3457" s="82"/>
      <c r="B3457" s="19"/>
      <c r="C3457" s="19"/>
      <c r="D3457" s="19"/>
      <c r="E3457" s="19"/>
      <c r="F3457" s="19"/>
      <c r="G3457" s="19"/>
      <c r="H3457" s="19"/>
      <c r="I3457" s="19"/>
      <c r="J3457" s="19"/>
      <c r="K3457" s="19"/>
      <c r="L3457" s="19"/>
      <c r="M3457" s="19"/>
      <c r="N3457" s="19"/>
      <c r="O3457" s="19"/>
      <c r="P3457" s="19"/>
      <c r="Q3457" s="19"/>
      <c r="R3457" s="20"/>
      <c r="S3457" s="20"/>
    </row>
    <row r="3458" spans="1:19" x14ac:dyDescent="0.35">
      <c r="A3458" s="82"/>
      <c r="B3458" s="19"/>
      <c r="C3458" s="19"/>
      <c r="D3458" s="19"/>
      <c r="E3458" s="19"/>
      <c r="F3458" s="19"/>
      <c r="G3458" s="19"/>
      <c r="H3458" s="19"/>
      <c r="I3458" s="19"/>
      <c r="J3458" s="19"/>
      <c r="K3458" s="19"/>
      <c r="L3458" s="19"/>
      <c r="M3458" s="19"/>
      <c r="N3458" s="19"/>
      <c r="O3458" s="19"/>
      <c r="P3458" s="19"/>
      <c r="Q3458" s="19"/>
      <c r="R3458" s="20"/>
      <c r="S3458" s="20"/>
    </row>
    <row r="3459" spans="1:19" x14ac:dyDescent="0.35">
      <c r="A3459" s="81"/>
      <c r="B3459" s="17"/>
      <c r="C3459" s="17"/>
      <c r="D3459" s="17"/>
      <c r="E3459" s="17"/>
      <c r="F3459" s="17"/>
      <c r="G3459" s="17"/>
      <c r="H3459" s="17"/>
      <c r="I3459" s="17"/>
      <c r="J3459" s="17"/>
      <c r="K3459" s="17"/>
      <c r="L3459" s="17"/>
      <c r="M3459" s="17"/>
      <c r="N3459" s="17"/>
      <c r="O3459" s="17"/>
      <c r="P3459" s="17"/>
      <c r="Q3459" s="17"/>
      <c r="R3459" s="18"/>
      <c r="S3459" s="20"/>
    </row>
    <row r="3460" spans="1:19" x14ac:dyDescent="0.35">
      <c r="A3460" s="81"/>
      <c r="B3460" s="17"/>
      <c r="C3460" s="17"/>
      <c r="D3460" s="17"/>
      <c r="E3460" s="17"/>
      <c r="F3460" s="17"/>
      <c r="G3460" s="17"/>
      <c r="H3460" s="17"/>
      <c r="I3460" s="17"/>
      <c r="J3460" s="17"/>
      <c r="K3460" s="17"/>
      <c r="L3460" s="17"/>
      <c r="M3460" s="17"/>
      <c r="N3460" s="17"/>
      <c r="O3460" s="17"/>
      <c r="P3460" s="17"/>
      <c r="Q3460" s="17"/>
      <c r="R3460" s="18"/>
      <c r="S3460" s="18"/>
    </row>
    <row r="3461" spans="1:19" x14ac:dyDescent="0.35">
      <c r="A3461" s="82"/>
      <c r="B3461" s="19"/>
      <c r="C3461" s="19"/>
      <c r="D3461" s="19"/>
      <c r="E3461" s="19"/>
      <c r="F3461" s="19"/>
      <c r="G3461" s="19"/>
      <c r="H3461" s="19"/>
      <c r="I3461" s="19"/>
      <c r="J3461" s="19"/>
      <c r="K3461" s="19"/>
      <c r="L3461" s="19"/>
      <c r="M3461" s="19"/>
      <c r="N3461" s="19"/>
      <c r="O3461" s="19"/>
      <c r="P3461" s="19"/>
      <c r="Q3461" s="19"/>
      <c r="R3461" s="20"/>
      <c r="S3461" s="20"/>
    </row>
    <row r="3462" spans="1:19" x14ac:dyDescent="0.35">
      <c r="A3462" s="82"/>
      <c r="B3462" s="19"/>
      <c r="C3462" s="19"/>
      <c r="D3462" s="19"/>
      <c r="E3462" s="19"/>
      <c r="F3462" s="19"/>
      <c r="G3462" s="19"/>
      <c r="H3462" s="19"/>
      <c r="I3462" s="19"/>
      <c r="J3462" s="19"/>
      <c r="K3462" s="19"/>
      <c r="L3462" s="19"/>
      <c r="M3462" s="19"/>
      <c r="N3462" s="19"/>
      <c r="O3462" s="19"/>
      <c r="P3462" s="19"/>
      <c r="Q3462" s="19"/>
      <c r="R3462" s="20"/>
      <c r="S3462" s="18"/>
    </row>
    <row r="3463" spans="1:19" x14ac:dyDescent="0.35">
      <c r="A3463" s="82"/>
      <c r="B3463" s="19"/>
      <c r="C3463" s="19"/>
      <c r="D3463" s="19"/>
      <c r="E3463" s="19"/>
      <c r="F3463" s="19"/>
      <c r="G3463" s="19"/>
      <c r="H3463" s="19"/>
      <c r="I3463" s="19"/>
      <c r="J3463" s="19"/>
      <c r="K3463" s="19"/>
      <c r="L3463" s="19"/>
      <c r="M3463" s="19"/>
      <c r="N3463" s="19"/>
      <c r="O3463" s="19"/>
      <c r="P3463" s="19"/>
      <c r="Q3463" s="19"/>
      <c r="R3463" s="20"/>
      <c r="S3463" s="20"/>
    </row>
    <row r="3464" spans="1:19" x14ac:dyDescent="0.35">
      <c r="A3464" s="82"/>
      <c r="B3464" s="19"/>
      <c r="C3464" s="19"/>
      <c r="D3464" s="19"/>
      <c r="E3464" s="19"/>
      <c r="F3464" s="19"/>
      <c r="G3464" s="19"/>
      <c r="H3464" s="19"/>
      <c r="I3464" s="19"/>
      <c r="J3464" s="19"/>
      <c r="K3464" s="19"/>
      <c r="L3464" s="19"/>
      <c r="M3464" s="19"/>
      <c r="N3464" s="19"/>
      <c r="O3464" s="19"/>
      <c r="P3464" s="19"/>
      <c r="Q3464" s="19"/>
      <c r="R3464" s="20"/>
      <c r="S3464" s="18"/>
    </row>
    <row r="3465" spans="1:19" x14ac:dyDescent="0.35">
      <c r="A3465" s="82"/>
      <c r="B3465" s="19"/>
      <c r="C3465" s="19"/>
      <c r="D3465" s="19"/>
      <c r="E3465" s="19"/>
      <c r="F3465" s="19"/>
      <c r="G3465" s="19"/>
      <c r="H3465" s="19"/>
      <c r="I3465" s="19"/>
      <c r="J3465" s="19"/>
      <c r="K3465" s="19"/>
      <c r="L3465" s="19"/>
      <c r="M3465" s="19"/>
      <c r="N3465" s="19"/>
      <c r="O3465" s="19"/>
      <c r="P3465" s="19"/>
      <c r="Q3465" s="19"/>
      <c r="R3465" s="20"/>
      <c r="S3465" s="20"/>
    </row>
    <row r="3466" spans="1:19" x14ac:dyDescent="0.35">
      <c r="A3466" s="82"/>
      <c r="B3466" s="19"/>
      <c r="C3466" s="19"/>
      <c r="D3466" s="19"/>
      <c r="E3466" s="19"/>
      <c r="F3466" s="19"/>
      <c r="G3466" s="19"/>
      <c r="H3466" s="19"/>
      <c r="I3466" s="19"/>
      <c r="J3466" s="19"/>
      <c r="K3466" s="19"/>
      <c r="L3466" s="19"/>
      <c r="M3466" s="19"/>
      <c r="N3466" s="19"/>
      <c r="O3466" s="19"/>
      <c r="P3466" s="19"/>
      <c r="Q3466" s="19"/>
      <c r="R3466" s="20"/>
      <c r="S3466" s="20"/>
    </row>
    <row r="3467" spans="1:19" x14ac:dyDescent="0.35">
      <c r="A3467" s="81"/>
      <c r="B3467" s="17"/>
      <c r="C3467" s="17"/>
      <c r="D3467" s="17"/>
      <c r="E3467" s="17"/>
      <c r="F3467" s="17"/>
      <c r="G3467" s="17"/>
      <c r="H3467" s="17"/>
      <c r="I3467" s="17"/>
      <c r="J3467" s="17"/>
      <c r="K3467" s="17"/>
      <c r="L3467" s="17"/>
      <c r="M3467" s="17"/>
      <c r="N3467" s="17"/>
      <c r="O3467" s="17"/>
      <c r="P3467" s="17"/>
      <c r="Q3467" s="17"/>
      <c r="R3467" s="18"/>
      <c r="S3467" s="20"/>
    </row>
    <row r="3468" spans="1:19" x14ac:dyDescent="0.35">
      <c r="A3468" s="82"/>
      <c r="B3468" s="19"/>
      <c r="C3468" s="19"/>
      <c r="D3468" s="19"/>
      <c r="E3468" s="19"/>
      <c r="F3468" s="19"/>
      <c r="G3468" s="19"/>
      <c r="H3468" s="19"/>
      <c r="I3468" s="19"/>
      <c r="J3468" s="19"/>
      <c r="K3468" s="19"/>
      <c r="L3468" s="19"/>
      <c r="M3468" s="19"/>
      <c r="N3468" s="19"/>
      <c r="O3468" s="19"/>
      <c r="P3468" s="19"/>
      <c r="Q3468" s="19"/>
      <c r="R3468" s="20"/>
      <c r="S3468" s="20"/>
    </row>
    <row r="3469" spans="1:19" x14ac:dyDescent="0.35">
      <c r="A3469" s="82"/>
      <c r="B3469" s="19"/>
      <c r="C3469" s="19"/>
      <c r="D3469" s="19"/>
      <c r="E3469" s="19"/>
      <c r="F3469" s="19"/>
      <c r="G3469" s="19"/>
      <c r="H3469" s="19"/>
      <c r="I3469" s="19"/>
      <c r="J3469" s="19"/>
      <c r="K3469" s="19"/>
      <c r="L3469" s="19"/>
      <c r="M3469" s="19"/>
      <c r="N3469" s="19"/>
      <c r="O3469" s="19"/>
      <c r="P3469" s="19"/>
      <c r="Q3469" s="19"/>
      <c r="R3469" s="20"/>
      <c r="S3469" s="20"/>
    </row>
    <row r="3470" spans="1:19" x14ac:dyDescent="0.35">
      <c r="A3470" s="82"/>
      <c r="B3470" s="19"/>
      <c r="C3470" s="19"/>
      <c r="D3470" s="19"/>
      <c r="E3470" s="19"/>
      <c r="F3470" s="19"/>
      <c r="G3470" s="19"/>
      <c r="H3470" s="19"/>
      <c r="I3470" s="19"/>
      <c r="J3470" s="19"/>
      <c r="K3470" s="19"/>
      <c r="L3470" s="19"/>
      <c r="M3470" s="19"/>
      <c r="N3470" s="19"/>
      <c r="O3470" s="19"/>
      <c r="P3470" s="19"/>
      <c r="Q3470" s="19"/>
      <c r="R3470" s="20"/>
      <c r="S3470" s="20"/>
    </row>
    <row r="3471" spans="1:19" x14ac:dyDescent="0.35">
      <c r="A3471" s="82"/>
      <c r="B3471" s="19"/>
      <c r="C3471" s="19"/>
      <c r="D3471" s="19"/>
      <c r="E3471" s="19"/>
      <c r="F3471" s="19"/>
      <c r="G3471" s="19"/>
      <c r="H3471" s="19"/>
      <c r="I3471" s="19"/>
      <c r="J3471" s="19"/>
      <c r="K3471" s="19"/>
      <c r="L3471" s="19"/>
      <c r="M3471" s="19"/>
      <c r="N3471" s="19"/>
      <c r="O3471" s="19"/>
      <c r="P3471" s="19"/>
      <c r="Q3471" s="19"/>
      <c r="R3471" s="20"/>
      <c r="S3471" s="20"/>
    </row>
    <row r="3472" spans="1:19" x14ac:dyDescent="0.35">
      <c r="A3472" s="81"/>
      <c r="B3472" s="17"/>
      <c r="C3472" s="17"/>
      <c r="D3472" s="17"/>
      <c r="E3472" s="17"/>
      <c r="F3472" s="17"/>
      <c r="G3472" s="17"/>
      <c r="H3472" s="17"/>
      <c r="I3472" s="17"/>
      <c r="J3472" s="17"/>
      <c r="K3472" s="17"/>
      <c r="L3472" s="17"/>
      <c r="M3472" s="17"/>
      <c r="N3472" s="17"/>
      <c r="O3472" s="17"/>
      <c r="P3472" s="17"/>
      <c r="Q3472" s="17"/>
      <c r="R3472" s="18"/>
      <c r="S3472" s="20"/>
    </row>
    <row r="3473" spans="1:19" x14ac:dyDescent="0.35">
      <c r="A3473" s="82"/>
      <c r="B3473" s="19"/>
      <c r="C3473" s="19"/>
      <c r="D3473" s="19"/>
      <c r="E3473" s="19"/>
      <c r="F3473" s="19"/>
      <c r="G3473" s="19"/>
      <c r="H3473" s="19"/>
      <c r="I3473" s="19"/>
      <c r="J3473" s="19"/>
      <c r="K3473" s="19"/>
      <c r="L3473" s="19"/>
      <c r="M3473" s="19"/>
      <c r="N3473" s="19"/>
      <c r="O3473" s="19"/>
      <c r="P3473" s="19"/>
      <c r="Q3473" s="19"/>
      <c r="R3473" s="20"/>
      <c r="S3473" s="20"/>
    </row>
    <row r="3474" spans="1:19" x14ac:dyDescent="0.35">
      <c r="A3474" s="81"/>
      <c r="B3474" s="17"/>
      <c r="C3474" s="17"/>
      <c r="D3474" s="17"/>
      <c r="E3474" s="17"/>
      <c r="F3474" s="17"/>
      <c r="G3474" s="17"/>
      <c r="H3474" s="17"/>
      <c r="I3474" s="17"/>
      <c r="J3474" s="17"/>
      <c r="K3474" s="17"/>
      <c r="L3474" s="17"/>
      <c r="M3474" s="17"/>
      <c r="N3474" s="17"/>
      <c r="O3474" s="17"/>
      <c r="P3474" s="17"/>
      <c r="Q3474" s="17"/>
      <c r="R3474" s="18"/>
      <c r="S3474" s="18"/>
    </row>
    <row r="3475" spans="1:19" x14ac:dyDescent="0.35">
      <c r="A3475" s="81"/>
      <c r="B3475" s="17"/>
      <c r="C3475" s="17"/>
      <c r="D3475" s="17"/>
      <c r="E3475" s="17"/>
      <c r="F3475" s="17"/>
      <c r="G3475" s="17"/>
      <c r="H3475" s="17"/>
      <c r="I3475" s="17"/>
      <c r="J3475" s="17"/>
      <c r="K3475" s="17"/>
      <c r="L3475" s="19"/>
      <c r="M3475" s="19"/>
      <c r="N3475" s="19"/>
      <c r="O3475" s="19"/>
      <c r="P3475" s="17"/>
      <c r="Q3475" s="17"/>
      <c r="R3475" s="18"/>
      <c r="S3475" s="20"/>
    </row>
    <row r="3476" spans="1:19" x14ac:dyDescent="0.35">
      <c r="A3476" s="81"/>
      <c r="B3476" s="17"/>
      <c r="C3476" s="17"/>
      <c r="D3476" s="17"/>
      <c r="E3476" s="17"/>
      <c r="F3476" s="17"/>
      <c r="G3476" s="17"/>
      <c r="H3476" s="17"/>
      <c r="I3476" s="17"/>
      <c r="J3476" s="17"/>
      <c r="K3476" s="17"/>
      <c r="L3476" s="17"/>
      <c r="M3476" s="17"/>
      <c r="N3476" s="17"/>
      <c r="O3476" s="17"/>
      <c r="P3476" s="17"/>
      <c r="Q3476" s="17"/>
      <c r="R3476" s="18"/>
      <c r="S3476" s="18"/>
    </row>
    <row r="3477" spans="1:19" x14ac:dyDescent="0.35">
      <c r="A3477" s="82"/>
      <c r="B3477" s="19"/>
      <c r="C3477" s="19"/>
      <c r="D3477" s="19"/>
      <c r="E3477" s="19"/>
      <c r="F3477" s="19"/>
      <c r="G3477" s="19"/>
      <c r="H3477" s="19"/>
      <c r="I3477" s="19"/>
      <c r="J3477" s="19"/>
      <c r="K3477" s="19"/>
      <c r="L3477" s="19"/>
      <c r="M3477" s="19"/>
      <c r="N3477" s="19"/>
      <c r="O3477" s="19"/>
      <c r="P3477" s="19"/>
      <c r="Q3477" s="19"/>
      <c r="R3477" s="20"/>
      <c r="S3477" s="20"/>
    </row>
    <row r="3478" spans="1:19" x14ac:dyDescent="0.35">
      <c r="A3478" s="81"/>
      <c r="B3478" s="17"/>
      <c r="C3478" s="17"/>
      <c r="D3478" s="17"/>
      <c r="E3478" s="17"/>
      <c r="F3478" s="17"/>
      <c r="G3478" s="17"/>
      <c r="H3478" s="17"/>
      <c r="I3478" s="17"/>
      <c r="J3478" s="17"/>
      <c r="K3478" s="17"/>
      <c r="L3478" s="17"/>
      <c r="M3478" s="17"/>
      <c r="N3478" s="17"/>
      <c r="O3478" s="17"/>
      <c r="P3478" s="17"/>
      <c r="Q3478" s="17"/>
      <c r="R3478" s="18"/>
      <c r="S3478" s="20"/>
    </row>
    <row r="3479" spans="1:19" x14ac:dyDescent="0.35">
      <c r="A3479" s="82"/>
      <c r="B3479" s="19"/>
      <c r="C3479" s="19"/>
      <c r="D3479" s="19"/>
      <c r="E3479" s="19"/>
      <c r="F3479" s="19"/>
      <c r="G3479" s="19"/>
      <c r="H3479" s="19"/>
      <c r="I3479" s="19"/>
      <c r="J3479" s="19"/>
      <c r="K3479" s="19"/>
      <c r="L3479" s="19"/>
      <c r="M3479" s="19"/>
      <c r="N3479" s="19"/>
      <c r="O3479" s="19"/>
      <c r="P3479" s="19"/>
      <c r="Q3479" s="19"/>
      <c r="R3479" s="20"/>
    </row>
    <row r="3480" spans="1:19" x14ac:dyDescent="0.35">
      <c r="A3480" s="82"/>
      <c r="B3480" s="19"/>
      <c r="C3480" s="19"/>
      <c r="D3480" s="19"/>
      <c r="E3480" s="19"/>
      <c r="F3480" s="19"/>
      <c r="G3480" s="19"/>
      <c r="H3480" s="19"/>
      <c r="I3480" s="19"/>
      <c r="J3480" s="19"/>
      <c r="K3480" s="19"/>
      <c r="L3480" s="19"/>
      <c r="M3480" s="19"/>
      <c r="N3480" s="19"/>
      <c r="O3480" s="19"/>
      <c r="P3480" s="19"/>
      <c r="Q3480" s="19"/>
      <c r="R3480" s="20"/>
      <c r="S3480" s="30"/>
    </row>
    <row r="3481" spans="1:19" x14ac:dyDescent="0.35">
      <c r="A3481" s="82"/>
      <c r="B3481" s="19"/>
      <c r="C3481" s="19"/>
      <c r="D3481" s="19"/>
      <c r="E3481" s="19"/>
      <c r="F3481" s="19"/>
      <c r="G3481" s="19"/>
      <c r="H3481" s="19"/>
      <c r="I3481" s="19"/>
      <c r="J3481" s="19"/>
      <c r="K3481" s="19"/>
      <c r="L3481" s="19"/>
      <c r="M3481" s="19"/>
      <c r="N3481" s="19"/>
      <c r="O3481" s="19"/>
      <c r="P3481" s="19"/>
      <c r="Q3481" s="19"/>
      <c r="R3481" s="20"/>
    </row>
    <row r="3482" spans="1:19" x14ac:dyDescent="0.35">
      <c r="A3482" s="82"/>
      <c r="B3482" s="19"/>
      <c r="C3482" s="19"/>
      <c r="D3482" s="19"/>
      <c r="E3482" s="19"/>
      <c r="F3482" s="19"/>
      <c r="G3482" s="19"/>
      <c r="H3482" s="19"/>
      <c r="I3482" s="19"/>
      <c r="J3482" s="19"/>
      <c r="K3482" s="19"/>
      <c r="L3482" s="19"/>
      <c r="M3482" s="19"/>
      <c r="N3482" s="19"/>
      <c r="O3482" s="19"/>
      <c r="P3482" s="19"/>
      <c r="Q3482" s="19"/>
      <c r="R3482" s="20"/>
    </row>
    <row r="3483" spans="1:19" x14ac:dyDescent="0.35">
      <c r="A3483" s="82"/>
      <c r="B3483" s="19"/>
      <c r="C3483" s="19"/>
      <c r="D3483" s="19"/>
      <c r="E3483" s="19"/>
      <c r="F3483" s="19"/>
      <c r="G3483" s="19"/>
      <c r="H3483" s="19"/>
      <c r="I3483" s="19"/>
      <c r="J3483" s="19"/>
      <c r="K3483" s="19"/>
      <c r="L3483" s="19"/>
      <c r="M3483" s="19"/>
      <c r="N3483" s="19"/>
      <c r="O3483" s="19"/>
      <c r="P3483" s="19"/>
      <c r="Q3483" s="19"/>
      <c r="R3483" s="20"/>
    </row>
    <row r="3484" spans="1:19" x14ac:dyDescent="0.35">
      <c r="A3484" s="82"/>
      <c r="B3484" s="19"/>
      <c r="C3484" s="19"/>
      <c r="D3484" s="19"/>
      <c r="E3484" s="19"/>
      <c r="F3484" s="19"/>
      <c r="G3484" s="19"/>
      <c r="H3484" s="19"/>
      <c r="I3484" s="19"/>
      <c r="J3484" s="19"/>
      <c r="K3484" s="19"/>
      <c r="L3484" s="19"/>
      <c r="M3484" s="19"/>
      <c r="N3484" s="19"/>
      <c r="O3484" s="19"/>
      <c r="P3484" s="19"/>
      <c r="Q3484" s="19"/>
      <c r="R3484" s="20"/>
    </row>
    <row r="3485" spans="1:19" x14ac:dyDescent="0.35">
      <c r="A3485" s="81"/>
      <c r="B3485" s="17"/>
      <c r="C3485" s="17"/>
      <c r="D3485" s="17"/>
      <c r="E3485" s="17"/>
      <c r="F3485" s="17"/>
      <c r="G3485" s="17"/>
      <c r="H3485" s="17"/>
      <c r="I3485" s="17"/>
      <c r="J3485" s="17"/>
      <c r="K3485" s="17"/>
      <c r="L3485" s="17"/>
      <c r="M3485" s="17"/>
      <c r="N3485" s="17"/>
      <c r="O3485" s="17"/>
      <c r="P3485" s="17"/>
      <c r="Q3485" s="17"/>
      <c r="R3485" s="18"/>
      <c r="S3485" s="30"/>
    </row>
    <row r="3486" spans="1:19" x14ac:dyDescent="0.35">
      <c r="A3486" s="81"/>
      <c r="B3486" s="17"/>
      <c r="C3486" s="17"/>
      <c r="D3486" s="17"/>
      <c r="E3486" s="17"/>
      <c r="F3486" s="17"/>
      <c r="G3486" s="17"/>
      <c r="H3486" s="17"/>
      <c r="I3486" s="17"/>
      <c r="J3486" s="17"/>
      <c r="K3486" s="17"/>
      <c r="L3486" s="17"/>
      <c r="M3486" s="17"/>
      <c r="N3486" s="17"/>
      <c r="O3486" s="17"/>
      <c r="P3486" s="17"/>
      <c r="Q3486" s="17"/>
      <c r="R3486" s="18"/>
    </row>
    <row r="3487" spans="1:19" x14ac:dyDescent="0.35">
      <c r="A3487" s="82"/>
      <c r="B3487" s="19"/>
      <c r="C3487" s="19"/>
      <c r="D3487" s="19"/>
      <c r="E3487" s="19"/>
      <c r="F3487" s="19"/>
      <c r="G3487" s="19"/>
      <c r="H3487" s="19"/>
      <c r="I3487" s="19"/>
      <c r="J3487" s="19"/>
      <c r="K3487" s="19"/>
      <c r="L3487" s="19"/>
      <c r="M3487" s="19"/>
      <c r="N3487" s="19"/>
      <c r="O3487" s="19"/>
      <c r="P3487" s="19"/>
      <c r="Q3487" s="19"/>
      <c r="R3487" s="20"/>
    </row>
    <row r="3488" spans="1:19" x14ac:dyDescent="0.35">
      <c r="A3488" s="82"/>
      <c r="B3488" s="19"/>
      <c r="C3488" s="19"/>
      <c r="D3488" s="19"/>
      <c r="E3488" s="19"/>
      <c r="F3488" s="19"/>
      <c r="G3488" s="19"/>
      <c r="H3488" s="19"/>
      <c r="I3488" s="19"/>
      <c r="J3488" s="19"/>
      <c r="K3488" s="19"/>
      <c r="L3488" s="19"/>
      <c r="M3488" s="19"/>
      <c r="N3488" s="19"/>
      <c r="O3488" s="19"/>
      <c r="P3488" s="19"/>
      <c r="Q3488" s="19"/>
      <c r="R3488" s="20"/>
    </row>
    <row r="3489" spans="1:19" x14ac:dyDescent="0.35">
      <c r="A3489" s="81"/>
      <c r="B3489" s="17"/>
      <c r="C3489" s="17"/>
      <c r="D3489" s="17"/>
      <c r="E3489" s="17"/>
      <c r="F3489" s="17"/>
      <c r="G3489" s="17"/>
      <c r="H3489" s="17"/>
      <c r="I3489" s="17"/>
      <c r="J3489" s="17"/>
      <c r="K3489" s="17"/>
      <c r="L3489" s="17"/>
      <c r="M3489" s="17"/>
      <c r="N3489" s="17"/>
      <c r="O3489" s="17"/>
      <c r="P3489" s="17"/>
      <c r="Q3489" s="17"/>
      <c r="R3489" s="18"/>
    </row>
    <row r="3490" spans="1:19" x14ac:dyDescent="0.35">
      <c r="A3490" s="81"/>
      <c r="B3490" s="17"/>
      <c r="C3490" s="17"/>
      <c r="D3490" s="17"/>
      <c r="E3490" s="17"/>
      <c r="F3490" s="17"/>
      <c r="G3490" s="17"/>
      <c r="H3490" s="17"/>
      <c r="I3490" s="17"/>
      <c r="J3490" s="17"/>
      <c r="K3490" s="17"/>
      <c r="L3490" s="17"/>
      <c r="M3490" s="17"/>
      <c r="N3490" s="17"/>
      <c r="O3490" s="17"/>
      <c r="P3490" s="17"/>
      <c r="Q3490" s="17"/>
      <c r="R3490" s="18"/>
    </row>
    <row r="3491" spans="1:19" x14ac:dyDescent="0.35">
      <c r="A3491" s="81"/>
      <c r="B3491" s="17"/>
      <c r="C3491" s="17"/>
      <c r="D3491" s="17"/>
      <c r="E3491" s="17"/>
      <c r="F3491" s="17"/>
      <c r="G3491" s="17"/>
      <c r="H3491" s="17"/>
      <c r="I3491" s="17"/>
      <c r="J3491" s="17"/>
      <c r="K3491" s="17"/>
      <c r="L3491" s="17"/>
      <c r="M3491" s="17"/>
      <c r="N3491" s="17"/>
      <c r="O3491" s="17"/>
      <c r="P3491" s="17"/>
      <c r="Q3491" s="17"/>
      <c r="R3491" s="18"/>
    </row>
    <row r="3492" spans="1:19" x14ac:dyDescent="0.35">
      <c r="A3492" s="82"/>
      <c r="B3492" s="19"/>
      <c r="C3492" s="19"/>
      <c r="D3492" s="19"/>
      <c r="E3492" s="19"/>
      <c r="F3492" s="19"/>
      <c r="G3492" s="19"/>
      <c r="H3492" s="19"/>
      <c r="I3492" s="19"/>
      <c r="J3492" s="19"/>
      <c r="K3492" s="19"/>
      <c r="L3492" s="19"/>
      <c r="M3492" s="19"/>
      <c r="N3492" s="19"/>
      <c r="O3492" s="19"/>
      <c r="P3492" s="19"/>
      <c r="Q3492" s="19"/>
      <c r="R3492" s="20"/>
      <c r="S3492" s="30"/>
    </row>
    <row r="3493" spans="1:19" x14ac:dyDescent="0.35">
      <c r="A3493" s="81"/>
      <c r="B3493" s="17"/>
      <c r="C3493" s="17"/>
      <c r="D3493" s="17"/>
      <c r="E3493" s="17"/>
      <c r="F3493" s="17"/>
      <c r="G3493" s="17"/>
      <c r="H3493" s="17"/>
      <c r="I3493" s="17"/>
      <c r="J3493" s="17"/>
      <c r="K3493" s="17"/>
      <c r="L3493" s="17"/>
      <c r="M3493" s="17"/>
      <c r="N3493" s="17"/>
      <c r="O3493" s="17"/>
      <c r="P3493" s="17"/>
      <c r="Q3493" s="17"/>
      <c r="R3493" s="18"/>
    </row>
    <row r="3494" spans="1:19" x14ac:dyDescent="0.35">
      <c r="A3494" s="81"/>
      <c r="B3494" s="17"/>
      <c r="C3494" s="17"/>
      <c r="D3494" s="17"/>
      <c r="E3494" s="17"/>
      <c r="F3494" s="17"/>
      <c r="G3494" s="17"/>
      <c r="H3494" s="17"/>
      <c r="I3494" s="17"/>
      <c r="J3494" s="17"/>
      <c r="K3494" s="17"/>
      <c r="L3494" s="17"/>
      <c r="M3494" s="17"/>
      <c r="N3494" s="17"/>
      <c r="O3494" s="17"/>
      <c r="P3494" s="17"/>
      <c r="Q3494" s="17"/>
      <c r="R3494" s="18"/>
      <c r="S3494" s="30"/>
    </row>
    <row r="3495" spans="1:19" x14ac:dyDescent="0.35">
      <c r="A3495" s="81"/>
      <c r="B3495" s="17"/>
      <c r="C3495" s="17"/>
      <c r="D3495" s="17"/>
      <c r="E3495" s="17"/>
      <c r="F3495" s="17"/>
      <c r="G3495" s="17"/>
      <c r="H3495" s="17"/>
      <c r="I3495" s="17"/>
      <c r="J3495" s="17"/>
      <c r="K3495" s="17"/>
      <c r="L3495" s="17"/>
      <c r="M3495" s="17"/>
      <c r="N3495" s="17"/>
      <c r="O3495" s="17"/>
      <c r="P3495" s="17"/>
      <c r="Q3495" s="17"/>
      <c r="R3495" s="18"/>
      <c r="S3495" s="30"/>
    </row>
    <row r="3496" spans="1:19" x14ac:dyDescent="0.35">
      <c r="A3496" s="82"/>
      <c r="B3496" s="19"/>
      <c r="C3496" s="19"/>
      <c r="D3496" s="19"/>
      <c r="E3496" s="19"/>
      <c r="F3496" s="19"/>
      <c r="G3496" s="19"/>
      <c r="H3496" s="19"/>
      <c r="I3496" s="19"/>
      <c r="J3496" s="19"/>
      <c r="K3496" s="19"/>
      <c r="L3496" s="19"/>
      <c r="M3496" s="19"/>
      <c r="N3496" s="19"/>
      <c r="O3496" s="19"/>
      <c r="P3496" s="19"/>
      <c r="Q3496" s="19"/>
      <c r="R3496" s="20"/>
    </row>
    <row r="3497" spans="1:19" x14ac:dyDescent="0.35">
      <c r="A3497" s="82"/>
      <c r="B3497" s="19"/>
      <c r="C3497" s="19"/>
      <c r="D3497" s="19"/>
      <c r="E3497" s="19"/>
      <c r="F3497" s="19"/>
      <c r="G3497" s="19"/>
      <c r="H3497" s="19"/>
      <c r="I3497" s="19"/>
      <c r="J3497" s="19"/>
      <c r="K3497" s="19"/>
      <c r="L3497" s="19"/>
      <c r="M3497" s="19"/>
      <c r="N3497" s="19"/>
      <c r="O3497" s="19"/>
      <c r="P3497" s="19"/>
      <c r="Q3497" s="19"/>
      <c r="R3497" s="20"/>
      <c r="S3497" s="30"/>
    </row>
    <row r="3498" spans="1:19" x14ac:dyDescent="0.35">
      <c r="A3498" s="82"/>
      <c r="B3498" s="19"/>
      <c r="C3498" s="19"/>
      <c r="D3498" s="19"/>
      <c r="E3498" s="19"/>
      <c r="F3498" s="19"/>
      <c r="G3498" s="19"/>
      <c r="H3498" s="19"/>
      <c r="I3498" s="19"/>
      <c r="J3498" s="19"/>
      <c r="K3498" s="19"/>
      <c r="L3498" s="19"/>
      <c r="M3498" s="19"/>
      <c r="N3498" s="19"/>
      <c r="O3498" s="19"/>
      <c r="P3498" s="19"/>
      <c r="Q3498" s="19"/>
      <c r="R3498" s="20"/>
    </row>
    <row r="3499" spans="1:19" x14ac:dyDescent="0.35">
      <c r="A3499" s="82"/>
      <c r="B3499" s="19"/>
      <c r="C3499" s="19"/>
      <c r="D3499" s="19"/>
      <c r="E3499" s="19"/>
      <c r="F3499" s="19"/>
      <c r="G3499" s="19"/>
      <c r="H3499" s="19"/>
      <c r="I3499" s="19"/>
      <c r="J3499" s="19"/>
      <c r="K3499" s="19"/>
      <c r="L3499" s="19"/>
      <c r="M3499" s="19"/>
      <c r="N3499" s="19"/>
      <c r="O3499" s="19"/>
      <c r="P3499" s="19"/>
      <c r="Q3499" s="19"/>
      <c r="R3499" s="20"/>
      <c r="S3499" s="30"/>
    </row>
    <row r="3500" spans="1:19" x14ac:dyDescent="0.35">
      <c r="A3500" s="82"/>
      <c r="B3500" s="19"/>
      <c r="C3500" s="19"/>
      <c r="D3500" s="19"/>
      <c r="E3500" s="19"/>
      <c r="F3500" s="19"/>
      <c r="G3500" s="19"/>
      <c r="H3500" s="19"/>
      <c r="I3500" s="19"/>
      <c r="J3500" s="19"/>
      <c r="K3500" s="19"/>
      <c r="L3500" s="19"/>
      <c r="M3500" s="19"/>
      <c r="N3500" s="19"/>
      <c r="O3500" s="19"/>
      <c r="P3500" s="19"/>
      <c r="Q3500" s="19"/>
      <c r="R3500" s="20"/>
    </row>
    <row r="3501" spans="1:19" x14ac:dyDescent="0.35">
      <c r="A3501" s="82"/>
      <c r="B3501" s="19"/>
      <c r="C3501" s="19"/>
      <c r="D3501" s="19"/>
      <c r="E3501" s="19"/>
      <c r="F3501" s="19"/>
      <c r="G3501" s="19"/>
      <c r="H3501" s="19"/>
      <c r="I3501" s="19"/>
      <c r="J3501" s="19"/>
      <c r="K3501" s="19"/>
      <c r="L3501" s="19"/>
      <c r="M3501" s="19"/>
      <c r="N3501" s="19"/>
      <c r="O3501" s="19"/>
      <c r="P3501" s="19"/>
      <c r="Q3501" s="19"/>
      <c r="R3501" s="20"/>
    </row>
    <row r="3502" spans="1:19" x14ac:dyDescent="0.35">
      <c r="A3502" s="82"/>
      <c r="B3502" s="19"/>
      <c r="C3502" s="19"/>
      <c r="D3502" s="19"/>
      <c r="E3502" s="19"/>
      <c r="F3502" s="19"/>
      <c r="G3502" s="19"/>
      <c r="H3502" s="19"/>
      <c r="I3502" s="19"/>
      <c r="J3502" s="19"/>
      <c r="K3502" s="19"/>
      <c r="L3502" s="19"/>
      <c r="M3502" s="19"/>
      <c r="N3502" s="19"/>
      <c r="O3502" s="19"/>
      <c r="P3502" s="19"/>
      <c r="Q3502" s="19"/>
      <c r="R3502" s="20"/>
    </row>
    <row r="3503" spans="1:19" x14ac:dyDescent="0.35">
      <c r="A3503" s="81"/>
      <c r="B3503" s="17"/>
      <c r="C3503" s="17"/>
      <c r="D3503" s="17"/>
      <c r="E3503" s="17"/>
      <c r="F3503" s="17"/>
      <c r="G3503" s="17"/>
      <c r="H3503" s="17"/>
      <c r="I3503" s="17"/>
      <c r="J3503" s="17"/>
      <c r="K3503" s="17"/>
      <c r="L3503" s="17"/>
      <c r="M3503" s="17"/>
      <c r="N3503" s="17"/>
      <c r="O3503" s="17"/>
      <c r="P3503" s="17"/>
      <c r="Q3503" s="17"/>
      <c r="R3503" s="18"/>
    </row>
    <row r="3504" spans="1:19" x14ac:dyDescent="0.35">
      <c r="A3504" s="81"/>
      <c r="B3504" s="17"/>
      <c r="C3504" s="17"/>
      <c r="D3504" s="17"/>
      <c r="E3504" s="17"/>
      <c r="F3504" s="17"/>
      <c r="G3504" s="17"/>
      <c r="H3504" s="17"/>
      <c r="I3504" s="17"/>
      <c r="J3504" s="17"/>
      <c r="K3504" s="17"/>
      <c r="L3504" s="17"/>
      <c r="M3504" s="17"/>
      <c r="N3504" s="17"/>
      <c r="O3504" s="17"/>
      <c r="P3504" s="17"/>
      <c r="Q3504" s="17"/>
      <c r="R3504" s="18"/>
    </row>
    <row r="3505" spans="1:19" x14ac:dyDescent="0.35">
      <c r="A3505" s="82"/>
      <c r="B3505" s="19"/>
      <c r="C3505" s="19"/>
      <c r="D3505" s="19"/>
      <c r="E3505" s="19"/>
      <c r="F3505" s="19"/>
      <c r="G3505" s="19"/>
      <c r="H3505" s="19"/>
      <c r="I3505" s="19"/>
      <c r="J3505" s="19"/>
      <c r="K3505" s="19"/>
      <c r="L3505" s="19"/>
      <c r="M3505" s="19"/>
      <c r="N3505" s="19"/>
      <c r="O3505" s="19"/>
      <c r="P3505" s="19"/>
      <c r="Q3505" s="19"/>
      <c r="R3505" s="20"/>
    </row>
    <row r="3506" spans="1:19" x14ac:dyDescent="0.35">
      <c r="A3506" s="81"/>
      <c r="B3506" s="17"/>
      <c r="C3506" s="17"/>
      <c r="D3506" s="17"/>
      <c r="E3506" s="17"/>
      <c r="F3506" s="17"/>
      <c r="G3506" s="17"/>
      <c r="H3506" s="17"/>
      <c r="I3506" s="17"/>
      <c r="J3506" s="17"/>
      <c r="K3506" s="17"/>
      <c r="L3506" s="17"/>
      <c r="M3506" s="17"/>
      <c r="N3506" s="17"/>
      <c r="O3506" s="17"/>
      <c r="P3506" s="17"/>
      <c r="Q3506" s="17"/>
      <c r="R3506" s="18"/>
    </row>
    <row r="3507" spans="1:19" x14ac:dyDescent="0.35">
      <c r="A3507" s="82"/>
      <c r="B3507" s="19"/>
      <c r="C3507" s="19"/>
      <c r="D3507" s="19"/>
      <c r="E3507" s="19"/>
      <c r="F3507" s="19"/>
      <c r="G3507" s="19"/>
      <c r="H3507" s="19"/>
      <c r="I3507" s="19"/>
      <c r="J3507" s="19"/>
      <c r="K3507" s="19"/>
      <c r="L3507" s="19"/>
      <c r="M3507" s="19"/>
      <c r="N3507" s="19"/>
      <c r="O3507" s="19"/>
      <c r="P3507" s="19"/>
      <c r="Q3507" s="19"/>
      <c r="R3507" s="20"/>
    </row>
    <row r="3508" spans="1:19" x14ac:dyDescent="0.35">
      <c r="A3508" s="82"/>
      <c r="B3508" s="19"/>
      <c r="C3508" s="19"/>
      <c r="D3508" s="19"/>
      <c r="E3508" s="19"/>
      <c r="F3508" s="19"/>
      <c r="G3508" s="19"/>
      <c r="H3508" s="19"/>
      <c r="I3508" s="19"/>
      <c r="J3508" s="19"/>
      <c r="K3508" s="19"/>
      <c r="L3508" s="19"/>
      <c r="M3508" s="19"/>
      <c r="N3508" s="19"/>
      <c r="O3508" s="19"/>
      <c r="P3508" s="19"/>
      <c r="Q3508" s="19"/>
      <c r="R3508" s="20"/>
    </row>
    <row r="3509" spans="1:19" x14ac:dyDescent="0.35">
      <c r="A3509" s="82"/>
      <c r="B3509" s="19"/>
      <c r="C3509" s="19"/>
      <c r="D3509" s="19"/>
      <c r="E3509" s="19"/>
      <c r="F3509" s="19"/>
      <c r="G3509" s="19"/>
      <c r="H3509" s="19"/>
      <c r="I3509" s="19"/>
      <c r="J3509" s="19"/>
      <c r="K3509" s="19"/>
      <c r="L3509" s="19"/>
      <c r="M3509" s="19"/>
      <c r="N3509" s="19"/>
      <c r="O3509" s="19"/>
      <c r="P3509" s="19"/>
      <c r="Q3509" s="19"/>
      <c r="R3509" s="20"/>
    </row>
    <row r="3510" spans="1:19" x14ac:dyDescent="0.35">
      <c r="A3510" s="82"/>
      <c r="B3510" s="19"/>
      <c r="C3510" s="19"/>
      <c r="D3510" s="19"/>
      <c r="E3510" s="19"/>
      <c r="F3510" s="19"/>
      <c r="G3510" s="19"/>
      <c r="H3510" s="19"/>
      <c r="I3510" s="19"/>
      <c r="J3510" s="19"/>
      <c r="K3510" s="19"/>
      <c r="L3510" s="19"/>
      <c r="M3510" s="19"/>
      <c r="N3510" s="19"/>
      <c r="O3510" s="19"/>
      <c r="P3510" s="19"/>
      <c r="Q3510" s="19"/>
      <c r="R3510" s="20"/>
      <c r="S3510" s="30"/>
    </row>
    <row r="3511" spans="1:19" x14ac:dyDescent="0.35">
      <c r="A3511" s="82"/>
      <c r="B3511" s="19"/>
      <c r="C3511" s="19"/>
      <c r="D3511" s="19"/>
      <c r="E3511" s="19"/>
      <c r="F3511" s="19"/>
      <c r="G3511" s="19"/>
      <c r="H3511" s="19"/>
      <c r="I3511" s="19"/>
      <c r="J3511" s="19"/>
      <c r="K3511" s="19"/>
      <c r="L3511" s="19"/>
      <c r="M3511" s="19"/>
      <c r="N3511" s="19"/>
      <c r="O3511" s="19"/>
      <c r="P3511" s="19"/>
      <c r="Q3511" s="19"/>
      <c r="R3511" s="20"/>
    </row>
    <row r="3512" spans="1:19" x14ac:dyDescent="0.35">
      <c r="A3512" s="82"/>
      <c r="B3512" s="19"/>
      <c r="C3512" s="19"/>
      <c r="D3512" s="19"/>
      <c r="E3512" s="19"/>
      <c r="F3512" s="19"/>
      <c r="G3512" s="19"/>
      <c r="H3512" s="19"/>
      <c r="I3512" s="19"/>
      <c r="J3512" s="19"/>
      <c r="K3512" s="19"/>
      <c r="L3512" s="19"/>
      <c r="M3512" s="19"/>
      <c r="N3512" s="19"/>
      <c r="O3512" s="19"/>
      <c r="P3512" s="19"/>
      <c r="Q3512" s="19"/>
      <c r="R3512" s="20"/>
    </row>
    <row r="3513" spans="1:19" x14ac:dyDescent="0.35">
      <c r="A3513" s="82"/>
      <c r="B3513" s="19"/>
      <c r="C3513" s="19"/>
      <c r="D3513" s="19"/>
      <c r="E3513" s="19"/>
      <c r="F3513" s="19"/>
      <c r="G3513" s="19"/>
      <c r="H3513" s="19"/>
      <c r="I3513" s="19"/>
      <c r="J3513" s="19"/>
      <c r="K3513" s="19"/>
      <c r="L3513" s="19"/>
      <c r="M3513" s="19"/>
      <c r="N3513" s="19"/>
      <c r="O3513" s="19"/>
      <c r="P3513" s="19"/>
      <c r="Q3513" s="19"/>
      <c r="R3513" s="20"/>
    </row>
    <row r="3514" spans="1:19" x14ac:dyDescent="0.35">
      <c r="A3514" s="82"/>
      <c r="B3514" s="19"/>
      <c r="C3514" s="19"/>
      <c r="D3514" s="19"/>
      <c r="E3514" s="19"/>
      <c r="F3514" s="19"/>
      <c r="G3514" s="19"/>
      <c r="H3514" s="19"/>
      <c r="I3514" s="19"/>
      <c r="J3514" s="19"/>
      <c r="K3514" s="19"/>
      <c r="L3514" s="19"/>
      <c r="M3514" s="19"/>
      <c r="N3514" s="19"/>
      <c r="O3514" s="19"/>
      <c r="P3514" s="19"/>
      <c r="Q3514" s="19"/>
      <c r="R3514" s="20"/>
    </row>
    <row r="3515" spans="1:19" x14ac:dyDescent="0.35">
      <c r="A3515" s="81"/>
      <c r="B3515" s="17"/>
      <c r="C3515" s="17"/>
      <c r="D3515" s="17"/>
      <c r="E3515" s="17"/>
      <c r="F3515" s="17"/>
      <c r="G3515" s="17"/>
      <c r="H3515" s="17"/>
      <c r="I3515" s="17"/>
      <c r="J3515" s="17"/>
      <c r="K3515" s="17"/>
      <c r="L3515" s="17"/>
      <c r="M3515" s="17"/>
      <c r="N3515" s="17"/>
      <c r="O3515" s="17"/>
      <c r="P3515" s="17"/>
      <c r="Q3515" s="17"/>
      <c r="R3515" s="18"/>
    </row>
    <row r="3516" spans="1:19" x14ac:dyDescent="0.35">
      <c r="A3516" s="82"/>
      <c r="B3516" s="19"/>
      <c r="C3516" s="19"/>
      <c r="D3516" s="19"/>
      <c r="E3516" s="19"/>
      <c r="F3516" s="19"/>
      <c r="G3516" s="19"/>
      <c r="H3516" s="19"/>
      <c r="I3516" s="19"/>
      <c r="J3516" s="19"/>
      <c r="K3516" s="19"/>
      <c r="L3516" s="19"/>
      <c r="M3516" s="19"/>
      <c r="N3516" s="19"/>
      <c r="O3516" s="19"/>
      <c r="P3516" s="19"/>
      <c r="Q3516" s="19"/>
      <c r="R3516" s="20"/>
    </row>
    <row r="3517" spans="1:19" x14ac:dyDescent="0.35">
      <c r="A3517" s="81"/>
      <c r="B3517" s="17"/>
      <c r="C3517" s="17"/>
      <c r="D3517" s="17"/>
      <c r="E3517" s="17"/>
      <c r="F3517" s="17"/>
      <c r="G3517" s="17"/>
      <c r="H3517" s="17"/>
      <c r="I3517" s="17"/>
      <c r="J3517" s="17"/>
      <c r="K3517" s="17"/>
      <c r="L3517" s="17"/>
      <c r="M3517" s="17"/>
      <c r="N3517" s="17"/>
      <c r="O3517" s="17"/>
      <c r="P3517" s="17"/>
      <c r="Q3517" s="17"/>
      <c r="R3517" s="18"/>
    </row>
    <row r="3518" spans="1:19" x14ac:dyDescent="0.35">
      <c r="A3518" s="82"/>
      <c r="B3518" s="19"/>
      <c r="C3518" s="19"/>
      <c r="D3518" s="19"/>
      <c r="E3518" s="19"/>
      <c r="F3518" s="19"/>
      <c r="G3518" s="19"/>
      <c r="H3518" s="19"/>
      <c r="I3518" s="19"/>
      <c r="J3518" s="19"/>
      <c r="K3518" s="19"/>
      <c r="L3518" s="19"/>
      <c r="M3518" s="19"/>
      <c r="N3518" s="19"/>
      <c r="O3518" s="19"/>
      <c r="P3518" s="19"/>
      <c r="Q3518" s="19"/>
      <c r="R3518" s="20"/>
      <c r="S3518" s="30"/>
    </row>
    <row r="3519" spans="1:19" x14ac:dyDescent="0.35">
      <c r="A3519" s="81"/>
      <c r="B3519" s="17"/>
      <c r="C3519" s="17"/>
      <c r="D3519" s="17"/>
      <c r="E3519" s="17"/>
      <c r="F3519" s="17"/>
      <c r="G3519" s="17"/>
      <c r="H3519" s="17"/>
      <c r="I3519" s="17"/>
      <c r="J3519" s="17"/>
      <c r="K3519" s="17"/>
      <c r="L3519" s="17"/>
      <c r="M3519" s="17"/>
      <c r="N3519" s="17"/>
      <c r="O3519" s="17"/>
      <c r="P3519" s="17"/>
      <c r="Q3519" s="17"/>
      <c r="R3519" s="18"/>
      <c r="S3519" s="30"/>
    </row>
    <row r="3520" spans="1:19" x14ac:dyDescent="0.35">
      <c r="A3520" s="81"/>
      <c r="B3520" s="17"/>
      <c r="C3520" s="17"/>
      <c r="D3520" s="17"/>
      <c r="E3520" s="17"/>
      <c r="F3520" s="17"/>
      <c r="G3520" s="17"/>
      <c r="H3520" s="17"/>
      <c r="I3520" s="17"/>
      <c r="J3520" s="17"/>
      <c r="K3520" s="17"/>
      <c r="L3520" s="17"/>
      <c r="M3520" s="17"/>
      <c r="N3520" s="17"/>
      <c r="O3520" s="17"/>
      <c r="P3520" s="17"/>
      <c r="Q3520" s="17"/>
      <c r="R3520" s="18"/>
      <c r="S3520" s="30"/>
    </row>
    <row r="3521" spans="1:19" x14ac:dyDescent="0.35">
      <c r="A3521" s="82"/>
      <c r="B3521" s="19"/>
      <c r="C3521" s="19"/>
      <c r="D3521" s="19"/>
      <c r="E3521" s="19"/>
      <c r="F3521" s="19"/>
      <c r="G3521" s="19"/>
      <c r="H3521" s="19"/>
      <c r="I3521" s="19"/>
      <c r="J3521" s="19"/>
      <c r="K3521" s="19"/>
      <c r="L3521" s="19"/>
      <c r="M3521" s="19"/>
      <c r="N3521" s="19"/>
      <c r="O3521" s="19"/>
      <c r="P3521" s="19"/>
      <c r="Q3521" s="19"/>
      <c r="R3521" s="20"/>
    </row>
    <row r="3522" spans="1:19" x14ac:dyDescent="0.35">
      <c r="A3522" s="82"/>
      <c r="B3522" s="19"/>
      <c r="C3522" s="19"/>
      <c r="D3522" s="19"/>
      <c r="E3522" s="19"/>
      <c r="F3522" s="19"/>
      <c r="G3522" s="19"/>
      <c r="H3522" s="19"/>
      <c r="I3522" s="19"/>
      <c r="J3522" s="19"/>
      <c r="K3522" s="19"/>
      <c r="L3522" s="19"/>
      <c r="M3522" s="19"/>
      <c r="N3522" s="19"/>
      <c r="O3522" s="19"/>
      <c r="P3522" s="19"/>
      <c r="Q3522" s="19"/>
      <c r="R3522" s="20"/>
      <c r="S3522" s="30"/>
    </row>
    <row r="3523" spans="1:19" x14ac:dyDescent="0.35">
      <c r="A3523" s="82"/>
      <c r="B3523" s="19"/>
      <c r="C3523" s="19"/>
      <c r="D3523" s="19"/>
      <c r="E3523" s="19"/>
      <c r="F3523" s="19"/>
      <c r="G3523" s="19"/>
      <c r="H3523" s="19"/>
      <c r="I3523" s="19"/>
      <c r="J3523" s="19"/>
      <c r="K3523" s="19"/>
      <c r="L3523" s="19"/>
      <c r="M3523" s="19"/>
      <c r="N3523" s="19"/>
      <c r="O3523" s="19"/>
      <c r="P3523" s="19"/>
      <c r="Q3523" s="19"/>
      <c r="R3523" s="20"/>
    </row>
    <row r="3524" spans="1:19" x14ac:dyDescent="0.35">
      <c r="A3524" s="82"/>
      <c r="B3524" s="19"/>
      <c r="C3524" s="19"/>
      <c r="D3524" s="19"/>
      <c r="E3524" s="19"/>
      <c r="F3524" s="19"/>
      <c r="G3524" s="19"/>
      <c r="H3524" s="19"/>
      <c r="I3524" s="19"/>
      <c r="J3524" s="19"/>
      <c r="K3524" s="19"/>
      <c r="L3524" s="19"/>
      <c r="M3524" s="19"/>
      <c r="N3524" s="19"/>
      <c r="O3524" s="19"/>
      <c r="P3524" s="19"/>
      <c r="Q3524" s="19"/>
      <c r="R3524" s="20"/>
    </row>
    <row r="3525" spans="1:19" x14ac:dyDescent="0.35">
      <c r="A3525" s="82"/>
      <c r="B3525" s="19"/>
      <c r="C3525" s="19"/>
      <c r="D3525" s="19"/>
      <c r="E3525" s="19"/>
      <c r="F3525" s="19"/>
      <c r="G3525" s="19"/>
      <c r="H3525" s="19"/>
      <c r="I3525" s="19"/>
      <c r="J3525" s="19"/>
      <c r="K3525" s="19"/>
      <c r="L3525" s="19"/>
      <c r="M3525" s="19"/>
      <c r="N3525" s="19"/>
      <c r="O3525" s="19"/>
      <c r="P3525" s="19"/>
      <c r="Q3525" s="19"/>
      <c r="R3525" s="20"/>
    </row>
    <row r="3526" spans="1:19" x14ac:dyDescent="0.35">
      <c r="A3526" s="81"/>
      <c r="B3526" s="17"/>
      <c r="C3526" s="17"/>
      <c r="D3526" s="17"/>
      <c r="E3526" s="17"/>
      <c r="F3526" s="17"/>
      <c r="G3526" s="17"/>
      <c r="H3526" s="17"/>
      <c r="I3526" s="17"/>
      <c r="J3526" s="17"/>
      <c r="K3526" s="17"/>
      <c r="L3526" s="19"/>
      <c r="M3526" s="19"/>
      <c r="N3526" s="19"/>
      <c r="O3526" s="17"/>
      <c r="P3526" s="17"/>
      <c r="Q3526" s="17"/>
      <c r="R3526" s="18"/>
    </row>
    <row r="3527" spans="1:19" x14ac:dyDescent="0.35">
      <c r="A3527" s="81"/>
      <c r="B3527" s="17"/>
      <c r="C3527" s="17"/>
      <c r="D3527" s="17"/>
      <c r="E3527" s="17"/>
      <c r="F3527" s="17"/>
      <c r="G3527" s="17"/>
      <c r="H3527" s="17"/>
      <c r="I3527" s="17"/>
      <c r="J3527" s="17"/>
      <c r="K3527" s="17"/>
      <c r="L3527" s="17"/>
      <c r="M3527" s="17"/>
      <c r="N3527" s="17"/>
      <c r="O3527" s="17"/>
      <c r="P3527" s="17"/>
      <c r="Q3527" s="17"/>
      <c r="R3527" s="18"/>
      <c r="S3527" s="30"/>
    </row>
    <row r="3528" spans="1:19" x14ac:dyDescent="0.35">
      <c r="A3528" s="82"/>
      <c r="B3528" s="19"/>
      <c r="C3528" s="19"/>
      <c r="D3528" s="19"/>
      <c r="E3528" s="19"/>
      <c r="F3528" s="19"/>
      <c r="G3528" s="19"/>
      <c r="H3528" s="19"/>
      <c r="I3528" s="19"/>
      <c r="J3528" s="19"/>
      <c r="K3528" s="19"/>
      <c r="L3528" s="19"/>
      <c r="M3528" s="19"/>
      <c r="N3528" s="19"/>
      <c r="O3528" s="19"/>
      <c r="P3528" s="19"/>
      <c r="Q3528" s="19"/>
      <c r="R3528" s="20"/>
    </row>
    <row r="3529" spans="1:19" x14ac:dyDescent="0.35">
      <c r="A3529" s="82"/>
      <c r="B3529" s="19"/>
      <c r="C3529" s="19"/>
      <c r="D3529" s="19"/>
      <c r="E3529" s="19"/>
      <c r="F3529" s="19"/>
      <c r="G3529" s="19"/>
      <c r="H3529" s="19"/>
      <c r="I3529" s="19"/>
      <c r="J3529" s="19"/>
      <c r="K3529" s="19"/>
      <c r="L3529" s="19"/>
      <c r="M3529" s="19"/>
      <c r="N3529" s="19"/>
      <c r="O3529" s="19"/>
      <c r="P3529" s="19"/>
      <c r="Q3529" s="19"/>
      <c r="R3529" s="20"/>
      <c r="S3529" s="30"/>
    </row>
    <row r="3530" spans="1:19" x14ac:dyDescent="0.35">
      <c r="A3530" s="82"/>
      <c r="B3530" s="19"/>
      <c r="C3530" s="19"/>
      <c r="D3530" s="19"/>
      <c r="E3530" s="19"/>
      <c r="F3530" s="19"/>
      <c r="G3530" s="19"/>
      <c r="H3530" s="19"/>
      <c r="I3530" s="19"/>
      <c r="J3530" s="19"/>
      <c r="K3530" s="19"/>
      <c r="L3530" s="19"/>
      <c r="M3530" s="19"/>
      <c r="N3530" s="19"/>
      <c r="O3530" s="19"/>
      <c r="P3530" s="19"/>
      <c r="Q3530" s="19"/>
      <c r="R3530" s="20"/>
    </row>
    <row r="3531" spans="1:19" x14ac:dyDescent="0.35">
      <c r="A3531" s="82"/>
      <c r="B3531" s="19"/>
      <c r="C3531" s="19"/>
      <c r="D3531" s="19"/>
      <c r="E3531" s="19"/>
      <c r="F3531" s="19"/>
      <c r="G3531" s="19"/>
      <c r="H3531" s="19"/>
      <c r="I3531" s="19"/>
      <c r="J3531" s="19"/>
      <c r="K3531" s="19"/>
      <c r="L3531" s="19"/>
      <c r="M3531" s="19"/>
      <c r="N3531" s="19"/>
      <c r="O3531" s="19"/>
      <c r="P3531" s="19"/>
      <c r="Q3531" s="19"/>
      <c r="R3531" s="20"/>
    </row>
    <row r="3532" spans="1:19" x14ac:dyDescent="0.35">
      <c r="A3532" s="81"/>
      <c r="B3532" s="17"/>
      <c r="C3532" s="17"/>
      <c r="D3532" s="17"/>
      <c r="E3532" s="17"/>
      <c r="F3532" s="17"/>
      <c r="G3532" s="17"/>
      <c r="H3532" s="17"/>
      <c r="I3532" s="17"/>
      <c r="J3532" s="17"/>
      <c r="K3532" s="17"/>
      <c r="L3532" s="17"/>
      <c r="M3532" s="17"/>
      <c r="N3532" s="17"/>
      <c r="O3532" s="17"/>
      <c r="P3532" s="17"/>
      <c r="Q3532" s="17"/>
      <c r="R3532" s="18"/>
    </row>
    <row r="3533" spans="1:19" x14ac:dyDescent="0.35">
      <c r="A3533" s="82"/>
      <c r="B3533" s="19"/>
      <c r="C3533" s="19"/>
      <c r="D3533" s="19"/>
      <c r="E3533" s="19"/>
      <c r="F3533" s="19"/>
      <c r="G3533" s="19"/>
      <c r="H3533" s="19"/>
      <c r="I3533" s="19"/>
      <c r="J3533" s="19"/>
      <c r="K3533" s="19"/>
      <c r="L3533" s="19"/>
      <c r="M3533" s="19"/>
      <c r="N3533" s="19"/>
      <c r="O3533" s="19"/>
      <c r="P3533" s="19"/>
      <c r="Q3533" s="19"/>
      <c r="R3533" s="20"/>
    </row>
    <row r="3534" spans="1:19" x14ac:dyDescent="0.35">
      <c r="A3534" s="81"/>
      <c r="B3534" s="17"/>
      <c r="C3534" s="17"/>
      <c r="D3534" s="17"/>
      <c r="E3534" s="17"/>
      <c r="F3534" s="17"/>
      <c r="G3534" s="17"/>
      <c r="H3534" s="17"/>
      <c r="I3534" s="17"/>
      <c r="J3534" s="17"/>
      <c r="K3534" s="17"/>
      <c r="L3534" s="17"/>
      <c r="M3534" s="17"/>
      <c r="N3534" s="17"/>
      <c r="O3534" s="17"/>
      <c r="P3534" s="17"/>
      <c r="Q3534" s="17"/>
      <c r="R3534" s="18"/>
      <c r="S3534" s="30"/>
    </row>
    <row r="3535" spans="1:19" x14ac:dyDescent="0.35">
      <c r="A3535" s="82"/>
      <c r="B3535" s="19"/>
      <c r="C3535" s="19"/>
      <c r="D3535" s="19"/>
      <c r="E3535" s="19"/>
      <c r="F3535" s="19"/>
      <c r="G3535" s="19"/>
      <c r="H3535" s="19"/>
      <c r="I3535" s="19"/>
      <c r="J3535" s="19"/>
      <c r="K3535" s="19"/>
      <c r="L3535" s="19"/>
      <c r="M3535" s="19"/>
      <c r="N3535" s="19"/>
      <c r="O3535" s="19"/>
      <c r="P3535" s="19"/>
      <c r="Q3535" s="19"/>
      <c r="R3535" s="20"/>
    </row>
    <row r="3536" spans="1:19" x14ac:dyDescent="0.35">
      <c r="A3536" s="82"/>
      <c r="B3536" s="19"/>
      <c r="C3536" s="19"/>
      <c r="D3536" s="19"/>
      <c r="E3536" s="19"/>
      <c r="F3536" s="19"/>
      <c r="G3536" s="19"/>
      <c r="H3536" s="19"/>
      <c r="I3536" s="19"/>
      <c r="J3536" s="19"/>
      <c r="K3536" s="19"/>
      <c r="L3536" s="19"/>
      <c r="M3536" s="19"/>
      <c r="N3536" s="19"/>
      <c r="O3536" s="19"/>
      <c r="P3536" s="19"/>
      <c r="Q3536" s="19"/>
      <c r="R3536" s="20"/>
      <c r="S3536" s="30"/>
    </row>
    <row r="3537" spans="1:19" x14ac:dyDescent="0.35">
      <c r="A3537" s="82"/>
      <c r="B3537" s="19"/>
      <c r="C3537" s="19"/>
      <c r="D3537" s="19"/>
      <c r="E3537" s="19"/>
      <c r="F3537" s="19"/>
      <c r="G3537" s="19"/>
      <c r="H3537" s="19"/>
      <c r="I3537" s="19"/>
      <c r="J3537" s="19"/>
      <c r="K3537" s="19"/>
      <c r="L3537" s="19"/>
      <c r="M3537" s="19"/>
      <c r="N3537" s="19"/>
      <c r="O3537" s="19"/>
      <c r="P3537" s="19"/>
      <c r="Q3537" s="19"/>
      <c r="R3537" s="20"/>
      <c r="S3537" s="30"/>
    </row>
    <row r="3538" spans="1:19" x14ac:dyDescent="0.35">
      <c r="A3538" s="82"/>
      <c r="B3538" s="19"/>
      <c r="C3538" s="19"/>
      <c r="D3538" s="19"/>
      <c r="E3538" s="19"/>
      <c r="F3538" s="19"/>
      <c r="G3538" s="19"/>
      <c r="H3538" s="19"/>
      <c r="I3538" s="19"/>
      <c r="J3538" s="19"/>
      <c r="K3538" s="19"/>
      <c r="L3538" s="19"/>
      <c r="M3538" s="19"/>
      <c r="N3538" s="19"/>
      <c r="O3538" s="19"/>
      <c r="P3538" s="19"/>
      <c r="Q3538" s="19"/>
      <c r="R3538" s="20"/>
    </row>
    <row r="3539" spans="1:19" x14ac:dyDescent="0.35">
      <c r="A3539" s="81"/>
      <c r="B3539" s="17"/>
      <c r="C3539" s="17"/>
      <c r="D3539" s="17"/>
      <c r="E3539" s="17"/>
      <c r="F3539" s="17"/>
      <c r="G3539" s="17"/>
      <c r="H3539" s="17"/>
      <c r="I3539" s="17"/>
      <c r="J3539" s="17"/>
      <c r="K3539" s="17"/>
      <c r="L3539" s="17"/>
      <c r="M3539" s="17"/>
      <c r="N3539" s="17"/>
      <c r="O3539" s="17"/>
      <c r="P3539" s="17"/>
      <c r="Q3539" s="17"/>
      <c r="R3539" s="18"/>
      <c r="S3539" s="30"/>
    </row>
    <row r="3540" spans="1:19" x14ac:dyDescent="0.35">
      <c r="A3540" s="82"/>
      <c r="B3540" s="19"/>
      <c r="C3540" s="19"/>
      <c r="D3540" s="19"/>
      <c r="E3540" s="19"/>
      <c r="F3540" s="19"/>
      <c r="G3540" s="19"/>
      <c r="H3540" s="19"/>
      <c r="I3540" s="19"/>
      <c r="J3540" s="19"/>
      <c r="K3540" s="19"/>
      <c r="L3540" s="19"/>
      <c r="M3540" s="19"/>
      <c r="N3540" s="19"/>
      <c r="O3540" s="19"/>
      <c r="P3540" s="19"/>
      <c r="Q3540" s="19"/>
      <c r="R3540" s="20"/>
    </row>
    <row r="3541" spans="1:19" x14ac:dyDescent="0.35">
      <c r="A3541" s="82"/>
      <c r="B3541" s="19"/>
      <c r="C3541" s="19"/>
      <c r="D3541" s="19"/>
      <c r="E3541" s="19"/>
      <c r="F3541" s="19"/>
      <c r="G3541" s="19"/>
      <c r="H3541" s="19"/>
      <c r="I3541" s="19"/>
      <c r="J3541" s="19"/>
      <c r="K3541" s="19"/>
      <c r="L3541" s="19"/>
      <c r="M3541" s="19"/>
      <c r="N3541" s="19"/>
      <c r="O3541" s="19"/>
      <c r="P3541" s="19"/>
      <c r="Q3541" s="19"/>
      <c r="R3541" s="20"/>
      <c r="S3541" s="30"/>
    </row>
    <row r="3542" spans="1:19" x14ac:dyDescent="0.35">
      <c r="A3542" s="81"/>
      <c r="B3542" s="17"/>
      <c r="C3542" s="17"/>
      <c r="D3542" s="17"/>
      <c r="E3542" s="17"/>
      <c r="F3542" s="17"/>
      <c r="G3542" s="17"/>
      <c r="H3542" s="17"/>
      <c r="I3542" s="17"/>
      <c r="J3542" s="17"/>
      <c r="K3542" s="17"/>
      <c r="L3542" s="17"/>
      <c r="M3542" s="17"/>
      <c r="N3542" s="17"/>
      <c r="O3542" s="17"/>
      <c r="P3542" s="17"/>
      <c r="Q3542" s="17"/>
      <c r="R3542" s="18"/>
    </row>
    <row r="3543" spans="1:19" x14ac:dyDescent="0.35">
      <c r="A3543" s="82"/>
      <c r="B3543" s="19"/>
      <c r="C3543" s="19"/>
      <c r="D3543" s="19"/>
      <c r="E3543" s="19"/>
      <c r="F3543" s="19"/>
      <c r="G3543" s="19"/>
      <c r="H3543" s="19"/>
      <c r="I3543" s="19"/>
      <c r="J3543" s="19"/>
      <c r="K3543" s="19"/>
      <c r="L3543" s="19"/>
      <c r="M3543" s="19"/>
      <c r="N3543" s="19"/>
      <c r="O3543" s="19"/>
      <c r="P3543" s="19"/>
      <c r="Q3543" s="19"/>
      <c r="R3543" s="20"/>
    </row>
    <row r="3544" spans="1:19" x14ac:dyDescent="0.35">
      <c r="A3544" s="81"/>
      <c r="B3544" s="17"/>
      <c r="C3544" s="17"/>
      <c r="D3544" s="17"/>
      <c r="E3544" s="17"/>
      <c r="F3544" s="17"/>
      <c r="G3544" s="17"/>
      <c r="H3544" s="17"/>
      <c r="I3544" s="17"/>
      <c r="J3544" s="17"/>
      <c r="K3544" s="17"/>
      <c r="L3544" s="19"/>
      <c r="M3544" s="19"/>
      <c r="N3544" s="19"/>
      <c r="O3544" s="19"/>
      <c r="P3544" s="17"/>
      <c r="Q3544" s="17"/>
      <c r="R3544" s="18"/>
    </row>
    <row r="3545" spans="1:19" x14ac:dyDescent="0.35">
      <c r="A3545" s="81"/>
      <c r="B3545" s="17"/>
      <c r="C3545" s="17"/>
      <c r="D3545" s="17"/>
      <c r="E3545" s="17"/>
      <c r="F3545" s="17"/>
      <c r="G3545" s="17"/>
      <c r="H3545" s="17"/>
      <c r="I3545" s="17"/>
      <c r="J3545" s="17"/>
      <c r="K3545" s="17"/>
      <c r="L3545" s="17"/>
      <c r="M3545" s="17"/>
      <c r="N3545" s="17"/>
      <c r="O3545" s="17"/>
      <c r="P3545" s="17"/>
      <c r="Q3545" s="17"/>
      <c r="R3545" s="18"/>
      <c r="S3545" s="30"/>
    </row>
    <row r="3546" spans="1:19" x14ac:dyDescent="0.35">
      <c r="A3546" s="82"/>
      <c r="B3546" s="19"/>
      <c r="C3546" s="19"/>
      <c r="D3546" s="19"/>
      <c r="E3546" s="19"/>
      <c r="F3546" s="19"/>
      <c r="G3546" s="19"/>
      <c r="H3546" s="19"/>
      <c r="I3546" s="19"/>
      <c r="J3546" s="19"/>
      <c r="K3546" s="19"/>
      <c r="L3546" s="19"/>
      <c r="M3546" s="19"/>
      <c r="N3546" s="19"/>
      <c r="O3546" s="19"/>
      <c r="P3546" s="19"/>
      <c r="Q3546" s="19"/>
      <c r="R3546" s="20"/>
    </row>
    <row r="3547" spans="1:19" x14ac:dyDescent="0.35">
      <c r="A3547" s="81"/>
      <c r="B3547" s="17"/>
      <c r="C3547" s="17"/>
      <c r="D3547" s="17"/>
      <c r="E3547" s="17"/>
      <c r="F3547" s="17"/>
      <c r="G3547" s="17"/>
      <c r="H3547" s="17"/>
      <c r="I3547" s="17"/>
      <c r="J3547" s="17"/>
      <c r="K3547" s="17"/>
      <c r="L3547" s="17"/>
      <c r="M3547" s="17"/>
      <c r="N3547" s="17"/>
      <c r="O3547" s="17"/>
      <c r="P3547" s="17"/>
      <c r="Q3547" s="17"/>
      <c r="R3547" s="18"/>
    </row>
    <row r="3548" spans="1:19" x14ac:dyDescent="0.35">
      <c r="A3548" s="81"/>
      <c r="B3548" s="17"/>
      <c r="C3548" s="17"/>
      <c r="D3548" s="17"/>
      <c r="E3548" s="17"/>
      <c r="F3548" s="17"/>
      <c r="G3548" s="17"/>
      <c r="H3548" s="17"/>
      <c r="I3548" s="17"/>
      <c r="J3548" s="17"/>
      <c r="K3548" s="17"/>
      <c r="L3548" s="17"/>
      <c r="M3548" s="17"/>
      <c r="N3548" s="17"/>
      <c r="O3548" s="17"/>
      <c r="P3548" s="17"/>
      <c r="Q3548" s="17"/>
      <c r="R3548" s="18"/>
      <c r="S3548" s="30"/>
    </row>
    <row r="3549" spans="1:19" x14ac:dyDescent="0.35">
      <c r="A3549" s="82"/>
      <c r="B3549" s="19"/>
      <c r="C3549" s="19"/>
      <c r="D3549" s="19"/>
      <c r="E3549" s="19"/>
      <c r="F3549" s="19"/>
      <c r="G3549" s="19"/>
      <c r="H3549" s="19"/>
      <c r="I3549" s="19"/>
      <c r="J3549" s="19"/>
      <c r="K3549" s="19"/>
      <c r="L3549" s="19"/>
      <c r="M3549" s="19"/>
      <c r="N3549" s="19"/>
      <c r="O3549" s="19"/>
      <c r="P3549" s="19"/>
      <c r="Q3549" s="19"/>
      <c r="R3549" s="20"/>
      <c r="S3549" s="30"/>
    </row>
    <row r="3550" spans="1:19" x14ac:dyDescent="0.35">
      <c r="A3550" s="82"/>
      <c r="B3550" s="19"/>
      <c r="C3550" s="19"/>
      <c r="D3550" s="19"/>
      <c r="E3550" s="19"/>
      <c r="F3550" s="19"/>
      <c r="G3550" s="19"/>
      <c r="H3550" s="19"/>
      <c r="I3550" s="19"/>
      <c r="J3550" s="19"/>
      <c r="K3550" s="19"/>
      <c r="L3550" s="19"/>
      <c r="M3550" s="19"/>
      <c r="N3550" s="19"/>
      <c r="O3550" s="19"/>
      <c r="P3550" s="19"/>
      <c r="Q3550" s="19"/>
      <c r="R3550" s="20"/>
      <c r="S3550" s="30"/>
    </row>
    <row r="3551" spans="1:19" x14ac:dyDescent="0.35">
      <c r="A3551" s="82"/>
      <c r="B3551" s="19"/>
      <c r="C3551" s="19"/>
      <c r="D3551" s="19"/>
      <c r="E3551" s="19"/>
      <c r="F3551" s="19"/>
      <c r="G3551" s="19"/>
      <c r="H3551" s="19"/>
      <c r="I3551" s="19"/>
      <c r="J3551" s="19"/>
      <c r="K3551" s="19"/>
      <c r="L3551" s="19"/>
      <c r="M3551" s="19"/>
      <c r="N3551" s="19"/>
      <c r="O3551" s="19"/>
      <c r="P3551" s="19"/>
      <c r="Q3551" s="19"/>
      <c r="R3551" s="20"/>
    </row>
    <row r="3552" spans="1:19" x14ac:dyDescent="0.35">
      <c r="A3552" s="82"/>
      <c r="B3552" s="19"/>
      <c r="C3552" s="19"/>
      <c r="D3552" s="19"/>
      <c r="E3552" s="19"/>
      <c r="F3552" s="19"/>
      <c r="G3552" s="19"/>
      <c r="H3552" s="19"/>
      <c r="I3552" s="19"/>
      <c r="J3552" s="19"/>
      <c r="K3552" s="19"/>
      <c r="L3552" s="19"/>
      <c r="M3552" s="19"/>
      <c r="N3552" s="19"/>
      <c r="O3552" s="19"/>
      <c r="P3552" s="19"/>
      <c r="Q3552" s="19"/>
      <c r="R3552" s="20"/>
    </row>
    <row r="3553" spans="1:19" x14ac:dyDescent="0.35">
      <c r="A3553" s="82"/>
      <c r="B3553" s="19"/>
      <c r="C3553" s="19"/>
      <c r="D3553" s="19"/>
      <c r="E3553" s="19"/>
      <c r="F3553" s="19"/>
      <c r="G3553" s="19"/>
      <c r="H3553" s="19"/>
      <c r="I3553" s="19"/>
      <c r="J3553" s="19"/>
      <c r="K3553" s="19"/>
      <c r="L3553" s="19"/>
      <c r="M3553" s="19"/>
      <c r="N3553" s="19"/>
      <c r="O3553" s="19"/>
      <c r="P3553" s="19"/>
      <c r="Q3553" s="19"/>
      <c r="R3553" s="20"/>
    </row>
    <row r="3554" spans="1:19" x14ac:dyDescent="0.35">
      <c r="A3554" s="82"/>
      <c r="B3554" s="19"/>
      <c r="C3554" s="19"/>
      <c r="D3554" s="19"/>
      <c r="E3554" s="19"/>
      <c r="F3554" s="19"/>
      <c r="G3554" s="19"/>
      <c r="H3554" s="19"/>
      <c r="I3554" s="19"/>
      <c r="J3554" s="19"/>
      <c r="K3554" s="19"/>
      <c r="L3554" s="19"/>
      <c r="M3554" s="19"/>
      <c r="N3554" s="19"/>
      <c r="O3554" s="19"/>
      <c r="P3554" s="19"/>
      <c r="Q3554" s="19"/>
      <c r="R3554" s="20"/>
    </row>
    <row r="3555" spans="1:19" x14ac:dyDescent="0.35">
      <c r="A3555" s="81"/>
      <c r="B3555" s="17"/>
      <c r="C3555" s="17"/>
      <c r="D3555" s="17"/>
      <c r="E3555" s="17"/>
      <c r="F3555" s="17"/>
      <c r="G3555" s="17"/>
      <c r="H3555" s="17"/>
      <c r="I3555" s="17"/>
      <c r="J3555" s="17"/>
      <c r="K3555" s="17"/>
      <c r="L3555" s="17"/>
      <c r="M3555" s="17"/>
      <c r="N3555" s="17"/>
      <c r="O3555" s="17"/>
      <c r="P3555" s="17"/>
      <c r="Q3555" s="17"/>
      <c r="R3555" s="18"/>
      <c r="S3555" s="30"/>
    </row>
    <row r="3556" spans="1:19" x14ac:dyDescent="0.35">
      <c r="A3556" s="82"/>
      <c r="B3556" s="19"/>
      <c r="C3556" s="19"/>
      <c r="D3556" s="19"/>
      <c r="E3556" s="19"/>
      <c r="F3556" s="19"/>
      <c r="G3556" s="19"/>
      <c r="H3556" s="19"/>
      <c r="I3556" s="19"/>
      <c r="J3556" s="19"/>
      <c r="K3556" s="19"/>
      <c r="L3556" s="19"/>
      <c r="M3556" s="19"/>
      <c r="N3556" s="19"/>
      <c r="O3556" s="19"/>
      <c r="P3556" s="19"/>
      <c r="Q3556" s="19"/>
      <c r="R3556" s="20"/>
    </row>
    <row r="3557" spans="1:19" x14ac:dyDescent="0.35">
      <c r="A3557" s="81"/>
      <c r="B3557" s="17"/>
      <c r="C3557" s="17"/>
      <c r="D3557" s="17"/>
      <c r="E3557" s="17"/>
      <c r="F3557" s="17"/>
      <c r="G3557" s="17"/>
      <c r="H3557" s="17"/>
      <c r="I3557" s="17"/>
      <c r="J3557" s="17"/>
      <c r="K3557" s="17"/>
      <c r="L3557" s="17"/>
      <c r="M3557" s="17"/>
      <c r="N3557" s="17"/>
      <c r="O3557" s="17"/>
      <c r="P3557" s="17"/>
      <c r="Q3557" s="17"/>
      <c r="R3557" s="18"/>
    </row>
    <row r="3558" spans="1:19" x14ac:dyDescent="0.35">
      <c r="A3558" s="81"/>
      <c r="B3558" s="17"/>
      <c r="C3558" s="17"/>
      <c r="D3558" s="17"/>
      <c r="E3558" s="17"/>
      <c r="F3558" s="17"/>
      <c r="G3558" s="17"/>
      <c r="H3558" s="17"/>
      <c r="I3558" s="17"/>
      <c r="J3558" s="17"/>
      <c r="K3558" s="17"/>
      <c r="L3558" s="17"/>
      <c r="M3558" s="17"/>
      <c r="N3558" s="17"/>
      <c r="O3558" s="17"/>
      <c r="P3558" s="17"/>
      <c r="Q3558" s="17"/>
      <c r="R3558" s="18"/>
      <c r="S3558" s="30"/>
    </row>
    <row r="3559" spans="1:19" x14ac:dyDescent="0.35">
      <c r="A3559" s="82"/>
      <c r="B3559" s="19"/>
      <c r="C3559" s="19"/>
      <c r="D3559" s="19"/>
      <c r="E3559" s="19"/>
      <c r="F3559" s="19"/>
      <c r="G3559" s="19"/>
      <c r="H3559" s="19"/>
      <c r="I3559" s="19"/>
      <c r="J3559" s="19"/>
      <c r="K3559" s="19"/>
      <c r="L3559" s="19"/>
      <c r="M3559" s="19"/>
      <c r="N3559" s="19"/>
      <c r="O3559" s="19"/>
      <c r="P3559" s="19"/>
      <c r="Q3559" s="19"/>
      <c r="R3559" s="20"/>
    </row>
    <row r="3560" spans="1:19" x14ac:dyDescent="0.35">
      <c r="A3560" s="81"/>
      <c r="B3560" s="17"/>
      <c r="C3560" s="17"/>
      <c r="D3560" s="17"/>
      <c r="E3560" s="17"/>
      <c r="F3560" s="17"/>
      <c r="G3560" s="17"/>
      <c r="H3560" s="17"/>
      <c r="I3560" s="17"/>
      <c r="J3560" s="17"/>
      <c r="K3560" s="17"/>
      <c r="L3560" s="17"/>
      <c r="M3560" s="17"/>
      <c r="N3560" s="17"/>
      <c r="O3560" s="17"/>
      <c r="P3560" s="17"/>
      <c r="Q3560" s="17"/>
      <c r="R3560" s="18"/>
    </row>
    <row r="3561" spans="1:19" x14ac:dyDescent="0.35">
      <c r="A3561" s="82"/>
      <c r="B3561" s="19"/>
      <c r="C3561" s="19"/>
      <c r="D3561" s="19"/>
      <c r="E3561" s="19"/>
      <c r="F3561" s="19"/>
      <c r="G3561" s="19"/>
      <c r="H3561" s="19"/>
      <c r="I3561" s="19"/>
      <c r="J3561" s="19"/>
      <c r="K3561" s="19"/>
      <c r="L3561" s="19"/>
      <c r="M3561" s="19"/>
      <c r="N3561" s="19"/>
      <c r="O3561" s="19"/>
      <c r="P3561" s="19"/>
      <c r="Q3561" s="19"/>
      <c r="R3561" s="20"/>
    </row>
    <row r="3562" spans="1:19" x14ac:dyDescent="0.35">
      <c r="A3562" s="81"/>
      <c r="B3562" s="17"/>
      <c r="C3562" s="17"/>
      <c r="D3562" s="17"/>
      <c r="E3562" s="17"/>
      <c r="F3562" s="17"/>
      <c r="G3562" s="17"/>
      <c r="H3562" s="17"/>
      <c r="I3562" s="17"/>
      <c r="J3562" s="17"/>
      <c r="K3562" s="17"/>
      <c r="L3562" s="17"/>
      <c r="M3562" s="17"/>
      <c r="N3562" s="17"/>
      <c r="O3562" s="17"/>
      <c r="P3562" s="17"/>
      <c r="Q3562" s="17"/>
      <c r="R3562" s="18"/>
      <c r="S3562" s="30"/>
    </row>
    <row r="3563" spans="1:19" x14ac:dyDescent="0.35">
      <c r="A3563" s="82"/>
      <c r="B3563" s="19"/>
      <c r="C3563" s="19"/>
      <c r="D3563" s="19"/>
      <c r="E3563" s="19"/>
      <c r="F3563" s="19"/>
      <c r="G3563" s="19"/>
      <c r="H3563" s="19"/>
      <c r="I3563" s="19"/>
      <c r="J3563" s="19"/>
      <c r="K3563" s="19"/>
      <c r="L3563" s="19"/>
      <c r="M3563" s="19"/>
      <c r="N3563" s="19"/>
      <c r="O3563" s="19"/>
      <c r="P3563" s="19"/>
      <c r="Q3563" s="19"/>
      <c r="R3563" s="20"/>
    </row>
    <row r="3564" spans="1:19" x14ac:dyDescent="0.35">
      <c r="A3564" s="82"/>
      <c r="B3564" s="19"/>
      <c r="C3564" s="19"/>
      <c r="D3564" s="19"/>
      <c r="E3564" s="19"/>
      <c r="F3564" s="19"/>
      <c r="G3564" s="19"/>
      <c r="H3564" s="19"/>
      <c r="I3564" s="19"/>
      <c r="J3564" s="19"/>
      <c r="K3564" s="19"/>
      <c r="L3564" s="19"/>
      <c r="M3564" s="19"/>
      <c r="N3564" s="19"/>
      <c r="O3564" s="19"/>
      <c r="P3564" s="19"/>
      <c r="Q3564" s="19"/>
      <c r="R3564" s="20"/>
    </row>
    <row r="3565" spans="1:19" x14ac:dyDescent="0.35">
      <c r="A3565" s="81"/>
      <c r="B3565" s="17"/>
      <c r="C3565" s="17"/>
      <c r="D3565" s="17"/>
      <c r="E3565" s="17"/>
      <c r="F3565" s="17"/>
      <c r="G3565" s="17"/>
      <c r="H3565" s="17"/>
      <c r="I3565" s="17"/>
      <c r="J3565" s="17"/>
      <c r="K3565" s="17"/>
      <c r="L3565" s="17"/>
      <c r="M3565" s="17"/>
      <c r="N3565" s="17"/>
      <c r="O3565" s="17"/>
      <c r="P3565" s="17"/>
      <c r="Q3565" s="17"/>
      <c r="R3565" s="18"/>
    </row>
    <row r="3566" spans="1:19" x14ac:dyDescent="0.35">
      <c r="A3566" s="81"/>
      <c r="B3566" s="17"/>
      <c r="C3566" s="17"/>
      <c r="D3566" s="17"/>
      <c r="E3566" s="17"/>
      <c r="F3566" s="17"/>
      <c r="G3566" s="17"/>
      <c r="H3566" s="17"/>
      <c r="I3566" s="17"/>
      <c r="J3566" s="17"/>
      <c r="K3566" s="17"/>
      <c r="L3566" s="17"/>
      <c r="M3566" s="17"/>
      <c r="N3566" s="17"/>
      <c r="O3566" s="17"/>
      <c r="P3566" s="17"/>
      <c r="Q3566" s="17"/>
      <c r="R3566" s="18"/>
      <c r="S3566" s="30"/>
    </row>
    <row r="3567" spans="1:19" x14ac:dyDescent="0.35">
      <c r="A3567" s="82"/>
      <c r="B3567" s="19"/>
      <c r="C3567" s="19"/>
      <c r="D3567" s="19"/>
      <c r="E3567" s="19"/>
      <c r="F3567" s="19"/>
      <c r="G3567" s="19"/>
      <c r="H3567" s="19"/>
      <c r="I3567" s="19"/>
      <c r="J3567" s="19"/>
      <c r="K3567" s="19"/>
      <c r="L3567" s="19"/>
      <c r="M3567" s="19"/>
      <c r="N3567" s="19"/>
      <c r="O3567" s="19"/>
      <c r="P3567" s="19"/>
      <c r="Q3567" s="19"/>
      <c r="R3567" s="20"/>
    </row>
    <row r="3568" spans="1:19" x14ac:dyDescent="0.35">
      <c r="A3568" s="82"/>
      <c r="B3568" s="19"/>
      <c r="C3568" s="19"/>
      <c r="D3568" s="19"/>
      <c r="E3568" s="19"/>
      <c r="F3568" s="19"/>
      <c r="G3568" s="19"/>
      <c r="H3568" s="19"/>
      <c r="I3568" s="19"/>
      <c r="J3568" s="19"/>
      <c r="K3568" s="19"/>
      <c r="L3568" s="19"/>
      <c r="M3568" s="19"/>
      <c r="N3568" s="19"/>
      <c r="O3568" s="19"/>
      <c r="P3568" s="19"/>
      <c r="Q3568" s="19"/>
      <c r="R3568" s="20"/>
    </row>
    <row r="3569" spans="1:19" x14ac:dyDescent="0.35">
      <c r="A3569" s="81"/>
      <c r="B3569" s="17"/>
      <c r="C3569" s="17"/>
      <c r="D3569" s="17"/>
      <c r="E3569" s="17"/>
      <c r="F3569" s="17"/>
      <c r="G3569" s="17"/>
      <c r="H3569" s="17"/>
      <c r="I3569" s="17"/>
      <c r="J3569" s="17"/>
      <c r="K3569" s="17"/>
      <c r="L3569" s="17"/>
      <c r="M3569" s="17"/>
      <c r="N3569" s="17"/>
      <c r="O3569" s="17"/>
      <c r="P3569" s="17"/>
      <c r="Q3569" s="17"/>
      <c r="R3569" s="18"/>
      <c r="S3569" s="30"/>
    </row>
    <row r="3570" spans="1:19" x14ac:dyDescent="0.35">
      <c r="A3570" s="82"/>
      <c r="B3570" s="19"/>
      <c r="C3570" s="19"/>
      <c r="D3570" s="19"/>
      <c r="E3570" s="19"/>
      <c r="F3570" s="19"/>
      <c r="G3570" s="19"/>
      <c r="H3570" s="19"/>
      <c r="I3570" s="19"/>
      <c r="J3570" s="19"/>
      <c r="K3570" s="19"/>
      <c r="L3570" s="19"/>
      <c r="M3570" s="19"/>
      <c r="N3570" s="19"/>
      <c r="O3570" s="19"/>
      <c r="P3570" s="19"/>
      <c r="Q3570" s="19"/>
      <c r="R3570" s="20"/>
    </row>
    <row r="3571" spans="1:19" x14ac:dyDescent="0.35">
      <c r="A3571" s="81"/>
      <c r="B3571" s="17"/>
      <c r="C3571" s="17"/>
      <c r="D3571" s="17"/>
      <c r="E3571" s="17"/>
      <c r="F3571" s="17"/>
      <c r="G3571" s="17"/>
      <c r="H3571" s="17"/>
      <c r="I3571" s="17"/>
      <c r="J3571" s="17"/>
      <c r="K3571" s="17"/>
      <c r="L3571" s="17"/>
      <c r="M3571" s="17"/>
      <c r="N3571" s="17"/>
      <c r="O3571" s="17"/>
      <c r="P3571" s="17"/>
      <c r="Q3571" s="17"/>
      <c r="R3571" s="18"/>
      <c r="S3571" s="30"/>
    </row>
    <row r="3572" spans="1:19" x14ac:dyDescent="0.35">
      <c r="A3572" s="81"/>
      <c r="B3572" s="17"/>
      <c r="C3572" s="17"/>
      <c r="D3572" s="17"/>
      <c r="E3572" s="17"/>
      <c r="F3572" s="17"/>
      <c r="G3572" s="17"/>
      <c r="H3572" s="17"/>
      <c r="I3572" s="17"/>
      <c r="J3572" s="17"/>
      <c r="K3572" s="17"/>
      <c r="L3572" s="17"/>
      <c r="M3572" s="17"/>
      <c r="N3572" s="17"/>
      <c r="O3572" s="17"/>
      <c r="P3572" s="17"/>
      <c r="Q3572" s="17"/>
      <c r="R3572" s="18"/>
      <c r="S3572" s="30"/>
    </row>
    <row r="3573" spans="1:19" x14ac:dyDescent="0.35">
      <c r="A3573" s="82"/>
      <c r="B3573" s="19"/>
      <c r="C3573" s="19"/>
      <c r="D3573" s="19"/>
      <c r="E3573" s="19"/>
      <c r="F3573" s="19"/>
      <c r="G3573" s="19"/>
      <c r="H3573" s="19"/>
      <c r="I3573" s="19"/>
      <c r="J3573" s="19"/>
      <c r="K3573" s="19"/>
      <c r="L3573" s="19"/>
      <c r="M3573" s="19"/>
      <c r="N3573" s="19"/>
      <c r="O3573" s="19"/>
      <c r="P3573" s="19"/>
      <c r="Q3573" s="19"/>
      <c r="R3573" s="20"/>
      <c r="S3573" s="30"/>
    </row>
    <row r="3574" spans="1:19" x14ac:dyDescent="0.35">
      <c r="A3574" s="81"/>
      <c r="B3574" s="17"/>
      <c r="C3574" s="17"/>
      <c r="D3574" s="17"/>
      <c r="E3574" s="17"/>
      <c r="F3574" s="17"/>
      <c r="G3574" s="17"/>
      <c r="H3574" s="17"/>
      <c r="I3574" s="17"/>
      <c r="J3574" s="17"/>
      <c r="K3574" s="17"/>
      <c r="L3574" s="17"/>
      <c r="M3574" s="17"/>
      <c r="N3574" s="17"/>
      <c r="O3574" s="17"/>
      <c r="P3574" s="17"/>
      <c r="Q3574" s="17"/>
      <c r="R3574" s="18"/>
      <c r="S3574" s="30"/>
    </row>
    <row r="3575" spans="1:19" x14ac:dyDescent="0.35">
      <c r="A3575" s="81"/>
      <c r="B3575" s="17"/>
      <c r="C3575" s="17"/>
      <c r="D3575" s="17"/>
      <c r="E3575" s="17"/>
      <c r="F3575" s="17"/>
      <c r="G3575" s="17"/>
      <c r="H3575" s="17"/>
      <c r="I3575" s="17"/>
      <c r="J3575" s="17"/>
      <c r="K3575" s="17"/>
      <c r="L3575" s="17"/>
      <c r="M3575" s="17"/>
      <c r="N3575" s="17"/>
      <c r="O3575" s="17"/>
      <c r="P3575" s="17"/>
      <c r="Q3575" s="17"/>
      <c r="R3575" s="18"/>
      <c r="S3575" s="30"/>
    </row>
    <row r="3576" spans="1:19" x14ac:dyDescent="0.35">
      <c r="A3576" s="82"/>
      <c r="B3576" s="19"/>
      <c r="C3576" s="19"/>
      <c r="D3576" s="19"/>
      <c r="E3576" s="19"/>
      <c r="F3576" s="19"/>
      <c r="G3576" s="19"/>
      <c r="H3576" s="19"/>
      <c r="I3576" s="19"/>
      <c r="J3576" s="19"/>
      <c r="K3576" s="19"/>
      <c r="L3576" s="19"/>
      <c r="M3576" s="19"/>
      <c r="N3576" s="19"/>
      <c r="O3576" s="19"/>
      <c r="P3576" s="19"/>
      <c r="Q3576" s="19"/>
      <c r="R3576" s="20"/>
    </row>
    <row r="3577" spans="1:19" x14ac:dyDescent="0.35">
      <c r="A3577" s="82"/>
      <c r="B3577" s="19"/>
      <c r="C3577" s="19"/>
      <c r="D3577" s="19"/>
      <c r="E3577" s="19"/>
      <c r="F3577" s="19"/>
      <c r="G3577" s="19"/>
      <c r="H3577" s="19"/>
      <c r="I3577" s="19"/>
      <c r="J3577" s="19"/>
      <c r="K3577" s="19"/>
      <c r="L3577" s="19"/>
      <c r="M3577" s="19"/>
      <c r="N3577" s="19"/>
      <c r="O3577" s="19"/>
      <c r="P3577" s="19"/>
      <c r="Q3577" s="19"/>
      <c r="R3577" s="20"/>
    </row>
    <row r="3578" spans="1:19" x14ac:dyDescent="0.35">
      <c r="A3578" s="82"/>
      <c r="B3578" s="19"/>
      <c r="C3578" s="19"/>
      <c r="D3578" s="19"/>
      <c r="E3578" s="19"/>
      <c r="F3578" s="19"/>
      <c r="G3578" s="19"/>
      <c r="H3578" s="19"/>
      <c r="I3578" s="19"/>
      <c r="J3578" s="19"/>
      <c r="K3578" s="19"/>
      <c r="L3578" s="19"/>
      <c r="M3578" s="19"/>
      <c r="N3578" s="19"/>
      <c r="O3578" s="19"/>
      <c r="P3578" s="19"/>
      <c r="Q3578" s="19"/>
      <c r="R3578" s="20"/>
    </row>
    <row r="3579" spans="1:19" x14ac:dyDescent="0.35">
      <c r="A3579" s="82"/>
      <c r="B3579" s="19"/>
      <c r="C3579" s="19"/>
      <c r="D3579" s="19"/>
      <c r="E3579" s="19"/>
      <c r="F3579" s="19"/>
      <c r="G3579" s="19"/>
      <c r="H3579" s="19"/>
      <c r="I3579" s="19"/>
      <c r="J3579" s="19"/>
      <c r="K3579" s="19"/>
      <c r="L3579" s="19"/>
      <c r="M3579" s="19"/>
      <c r="N3579" s="19"/>
      <c r="O3579" s="19"/>
      <c r="P3579" s="19"/>
      <c r="Q3579" s="19"/>
      <c r="R3579" s="20"/>
    </row>
    <row r="3580" spans="1:19" x14ac:dyDescent="0.35">
      <c r="A3580" s="81"/>
      <c r="B3580" s="17"/>
      <c r="C3580" s="17"/>
      <c r="D3580" s="17"/>
      <c r="E3580" s="17"/>
      <c r="F3580" s="17"/>
      <c r="G3580" s="17"/>
      <c r="H3580" s="17"/>
      <c r="I3580" s="17"/>
      <c r="J3580" s="17"/>
      <c r="K3580" s="17"/>
      <c r="L3580" s="17"/>
      <c r="M3580" s="17"/>
      <c r="N3580" s="17"/>
      <c r="O3580" s="17"/>
      <c r="P3580" s="17"/>
      <c r="Q3580" s="17"/>
      <c r="R3580" s="18"/>
      <c r="S3580" s="30"/>
    </row>
    <row r="3581" spans="1:19" x14ac:dyDescent="0.35">
      <c r="A3581" s="82"/>
      <c r="B3581" s="19"/>
      <c r="C3581" s="19"/>
      <c r="D3581" s="19"/>
      <c r="E3581" s="19"/>
      <c r="F3581" s="19"/>
      <c r="G3581" s="19"/>
      <c r="H3581" s="19"/>
      <c r="I3581" s="19"/>
      <c r="J3581" s="19"/>
      <c r="K3581" s="19"/>
      <c r="L3581" s="19"/>
      <c r="M3581" s="19"/>
      <c r="N3581" s="19"/>
      <c r="O3581" s="19"/>
      <c r="P3581" s="19"/>
      <c r="Q3581" s="19"/>
      <c r="R3581" s="20"/>
      <c r="S3581" s="30"/>
    </row>
    <row r="3582" spans="1:19" x14ac:dyDescent="0.35">
      <c r="A3582" s="81"/>
      <c r="B3582" s="17"/>
      <c r="C3582" s="17"/>
      <c r="D3582" s="17"/>
      <c r="E3582" s="17"/>
      <c r="F3582" s="17"/>
      <c r="G3582" s="17"/>
      <c r="H3582" s="17"/>
      <c r="I3582" s="17"/>
      <c r="J3582" s="17"/>
      <c r="K3582" s="17"/>
      <c r="L3582" s="17"/>
      <c r="M3582" s="17"/>
      <c r="N3582" s="17"/>
      <c r="O3582" s="17"/>
      <c r="P3582" s="17"/>
      <c r="Q3582" s="17"/>
      <c r="R3582" s="18"/>
    </row>
    <row r="3583" spans="1:19" x14ac:dyDescent="0.35">
      <c r="A3583" s="82"/>
      <c r="B3583" s="19"/>
      <c r="C3583" s="19"/>
      <c r="D3583" s="19"/>
      <c r="E3583" s="19"/>
      <c r="F3583" s="19"/>
      <c r="G3583" s="19"/>
      <c r="H3583" s="19"/>
      <c r="I3583" s="19"/>
      <c r="J3583" s="19"/>
      <c r="K3583" s="19"/>
      <c r="L3583" s="19"/>
      <c r="M3583" s="19"/>
      <c r="N3583" s="19"/>
      <c r="O3583" s="19"/>
      <c r="P3583" s="19"/>
      <c r="Q3583" s="19"/>
      <c r="R3583" s="20"/>
    </row>
    <row r="3584" spans="1:19" x14ac:dyDescent="0.35">
      <c r="A3584" s="82"/>
      <c r="B3584" s="19"/>
      <c r="C3584" s="19"/>
      <c r="D3584" s="19"/>
      <c r="E3584" s="19"/>
      <c r="F3584" s="19"/>
      <c r="G3584" s="19"/>
      <c r="H3584" s="19"/>
      <c r="I3584" s="19"/>
      <c r="J3584" s="19"/>
      <c r="K3584" s="19"/>
      <c r="L3584" s="19"/>
      <c r="M3584" s="19"/>
      <c r="N3584" s="19"/>
      <c r="O3584" s="19"/>
      <c r="P3584" s="19"/>
      <c r="Q3584" s="19"/>
      <c r="R3584" s="20"/>
    </row>
    <row r="3585" spans="1:19" x14ac:dyDescent="0.35">
      <c r="A3585" s="81"/>
      <c r="B3585" s="17"/>
      <c r="C3585" s="17"/>
      <c r="D3585" s="17"/>
      <c r="E3585" s="17"/>
      <c r="F3585" s="17"/>
      <c r="G3585" s="17"/>
      <c r="H3585" s="17"/>
      <c r="I3585" s="17"/>
      <c r="J3585" s="17"/>
      <c r="K3585" s="17"/>
      <c r="L3585" s="17"/>
      <c r="M3585" s="17"/>
      <c r="N3585" s="17"/>
      <c r="O3585" s="17"/>
      <c r="P3585" s="17"/>
      <c r="Q3585" s="17"/>
      <c r="R3585" s="18"/>
    </row>
    <row r="3586" spans="1:19" x14ac:dyDescent="0.35">
      <c r="A3586" s="81"/>
      <c r="B3586" s="17"/>
      <c r="C3586" s="17"/>
      <c r="D3586" s="17"/>
      <c r="E3586" s="17"/>
      <c r="F3586" s="17"/>
      <c r="G3586" s="17"/>
      <c r="H3586" s="17"/>
      <c r="I3586" s="17"/>
      <c r="J3586" s="17"/>
      <c r="K3586" s="17"/>
      <c r="L3586" s="17"/>
      <c r="M3586" s="17"/>
      <c r="N3586" s="17"/>
      <c r="O3586" s="17"/>
      <c r="P3586" s="17"/>
      <c r="Q3586" s="17"/>
      <c r="R3586" s="18"/>
      <c r="S3586" s="30"/>
    </row>
    <row r="3587" spans="1:19" x14ac:dyDescent="0.35">
      <c r="A3587" s="82"/>
      <c r="B3587" s="19"/>
      <c r="C3587" s="19"/>
      <c r="D3587" s="19"/>
      <c r="E3587" s="19"/>
      <c r="F3587" s="19"/>
      <c r="G3587" s="19"/>
      <c r="H3587" s="19"/>
      <c r="I3587" s="19"/>
      <c r="J3587" s="19"/>
      <c r="K3587" s="19"/>
      <c r="L3587" s="19"/>
      <c r="M3587" s="19"/>
      <c r="N3587" s="19"/>
      <c r="O3587" s="19"/>
      <c r="P3587" s="19"/>
      <c r="Q3587" s="19"/>
      <c r="R3587" s="20"/>
      <c r="S3587" s="30"/>
    </row>
    <row r="3588" spans="1:19" x14ac:dyDescent="0.35">
      <c r="A3588" s="81"/>
      <c r="B3588" s="17"/>
      <c r="C3588" s="17"/>
      <c r="D3588" s="17"/>
      <c r="E3588" s="17"/>
      <c r="F3588" s="17"/>
      <c r="G3588" s="17"/>
      <c r="H3588" s="17"/>
      <c r="I3588" s="17"/>
      <c r="J3588" s="17"/>
      <c r="K3588" s="17"/>
      <c r="L3588" s="17"/>
      <c r="M3588" s="17"/>
      <c r="N3588" s="17"/>
      <c r="O3588" s="17"/>
      <c r="P3588" s="17"/>
      <c r="Q3588" s="17"/>
      <c r="R3588" s="18"/>
    </row>
    <row r="3589" spans="1:19" x14ac:dyDescent="0.35">
      <c r="A3589" s="82"/>
      <c r="B3589" s="19"/>
      <c r="C3589" s="19"/>
      <c r="D3589" s="19"/>
      <c r="E3589" s="19"/>
      <c r="F3589" s="19"/>
      <c r="G3589" s="19"/>
      <c r="H3589" s="19"/>
      <c r="I3589" s="19"/>
      <c r="J3589" s="19"/>
      <c r="K3589" s="19"/>
      <c r="L3589" s="19"/>
      <c r="M3589" s="19"/>
      <c r="N3589" s="19"/>
      <c r="O3589" s="19"/>
      <c r="P3589" s="19"/>
      <c r="Q3589" s="19"/>
      <c r="R3589" s="20"/>
    </row>
    <row r="3590" spans="1:19" x14ac:dyDescent="0.35">
      <c r="A3590" s="82"/>
      <c r="B3590" s="19"/>
      <c r="C3590" s="19"/>
      <c r="D3590" s="19"/>
      <c r="E3590" s="19"/>
      <c r="F3590" s="19"/>
      <c r="G3590" s="19"/>
      <c r="H3590" s="19"/>
      <c r="I3590" s="19"/>
      <c r="J3590" s="19"/>
      <c r="K3590" s="19"/>
      <c r="L3590" s="19"/>
      <c r="M3590" s="19"/>
      <c r="N3590" s="19"/>
      <c r="O3590" s="19"/>
      <c r="P3590" s="19"/>
      <c r="Q3590" s="19"/>
      <c r="R3590" s="20"/>
    </row>
    <row r="3591" spans="1:19" x14ac:dyDescent="0.35">
      <c r="A3591" s="82"/>
      <c r="B3591" s="19"/>
      <c r="C3591" s="19"/>
      <c r="D3591" s="19"/>
      <c r="E3591" s="19"/>
      <c r="F3591" s="19"/>
      <c r="G3591" s="19"/>
      <c r="H3591" s="19"/>
      <c r="I3591" s="19"/>
      <c r="J3591" s="19"/>
      <c r="K3591" s="19"/>
      <c r="L3591" s="19"/>
      <c r="M3591" s="19"/>
      <c r="N3591" s="19"/>
      <c r="O3591" s="19"/>
      <c r="P3591" s="19"/>
      <c r="Q3591" s="19"/>
      <c r="R3591" s="20"/>
      <c r="S3591" s="30"/>
    </row>
    <row r="3592" spans="1:19" x14ac:dyDescent="0.35">
      <c r="A3592" s="82"/>
      <c r="B3592" s="19"/>
      <c r="C3592" s="19"/>
      <c r="D3592" s="19"/>
      <c r="E3592" s="19"/>
      <c r="F3592" s="19"/>
      <c r="G3592" s="19"/>
      <c r="H3592" s="19"/>
      <c r="I3592" s="19"/>
      <c r="J3592" s="19"/>
      <c r="K3592" s="19"/>
      <c r="L3592" s="19"/>
      <c r="M3592" s="19"/>
      <c r="N3592" s="19"/>
      <c r="O3592" s="19"/>
      <c r="P3592" s="19"/>
      <c r="Q3592" s="19"/>
      <c r="R3592" s="20"/>
    </row>
    <row r="3593" spans="1:19" x14ac:dyDescent="0.35">
      <c r="A3593" s="82"/>
      <c r="B3593" s="19"/>
      <c r="C3593" s="19"/>
      <c r="D3593" s="19"/>
      <c r="E3593" s="19"/>
      <c r="F3593" s="19"/>
      <c r="G3593" s="19"/>
      <c r="H3593" s="19"/>
      <c r="I3593" s="19"/>
      <c r="J3593" s="19"/>
      <c r="K3593" s="19"/>
      <c r="L3593" s="19"/>
      <c r="M3593" s="19"/>
      <c r="N3593" s="19"/>
      <c r="O3593" s="19"/>
      <c r="P3593" s="19"/>
      <c r="Q3593" s="19"/>
      <c r="R3593" s="20"/>
    </row>
    <row r="3594" spans="1:19" x14ac:dyDescent="0.35">
      <c r="A3594" s="82"/>
      <c r="B3594" s="19"/>
      <c r="C3594" s="19"/>
      <c r="D3594" s="19"/>
      <c r="E3594" s="19"/>
      <c r="F3594" s="19"/>
      <c r="G3594" s="19"/>
      <c r="H3594" s="19"/>
      <c r="I3594" s="19"/>
      <c r="J3594" s="19"/>
      <c r="K3594" s="19"/>
      <c r="L3594" s="19"/>
      <c r="M3594" s="19"/>
      <c r="N3594" s="19"/>
      <c r="O3594" s="19"/>
      <c r="P3594" s="19"/>
      <c r="Q3594" s="19"/>
      <c r="R3594" s="20"/>
    </row>
    <row r="3595" spans="1:19" x14ac:dyDescent="0.35">
      <c r="A3595" s="82"/>
      <c r="B3595" s="19"/>
      <c r="C3595" s="19"/>
      <c r="D3595" s="19"/>
      <c r="E3595" s="19"/>
      <c r="F3595" s="19"/>
      <c r="G3595" s="19"/>
      <c r="H3595" s="19"/>
      <c r="I3595" s="19"/>
      <c r="J3595" s="19"/>
      <c r="K3595" s="19"/>
      <c r="L3595" s="19"/>
      <c r="M3595" s="19"/>
      <c r="N3595" s="19"/>
      <c r="O3595" s="19"/>
      <c r="P3595" s="19"/>
      <c r="Q3595" s="19"/>
      <c r="R3595" s="20"/>
    </row>
    <row r="3596" spans="1:19" x14ac:dyDescent="0.35">
      <c r="A3596" s="82"/>
      <c r="B3596" s="19"/>
      <c r="C3596" s="19"/>
      <c r="D3596" s="19"/>
      <c r="E3596" s="19"/>
      <c r="F3596" s="19"/>
      <c r="G3596" s="19"/>
      <c r="H3596" s="19"/>
      <c r="I3596" s="19"/>
      <c r="J3596" s="19"/>
      <c r="K3596" s="19"/>
      <c r="L3596" s="19"/>
      <c r="M3596" s="19"/>
      <c r="N3596" s="19"/>
      <c r="O3596" s="19"/>
      <c r="P3596" s="19"/>
      <c r="Q3596" s="19"/>
      <c r="R3596" s="20"/>
    </row>
    <row r="3597" spans="1:19" x14ac:dyDescent="0.35">
      <c r="A3597" s="82"/>
      <c r="B3597" s="19"/>
      <c r="C3597" s="19"/>
      <c r="D3597" s="19"/>
      <c r="E3597" s="19"/>
      <c r="F3597" s="19"/>
      <c r="G3597" s="19"/>
      <c r="H3597" s="19"/>
      <c r="I3597" s="19"/>
      <c r="J3597" s="19"/>
      <c r="K3597" s="19"/>
      <c r="L3597" s="19"/>
      <c r="M3597" s="19"/>
      <c r="N3597" s="19"/>
      <c r="O3597" s="19"/>
      <c r="P3597" s="19"/>
      <c r="Q3597" s="19"/>
      <c r="R3597" s="20"/>
    </row>
    <row r="3598" spans="1:19" x14ac:dyDescent="0.35">
      <c r="A3598" s="82"/>
      <c r="B3598" s="19"/>
      <c r="C3598" s="19"/>
      <c r="D3598" s="19"/>
      <c r="E3598" s="19"/>
      <c r="F3598" s="19"/>
      <c r="G3598" s="19"/>
      <c r="H3598" s="19"/>
      <c r="I3598" s="19"/>
      <c r="J3598" s="19"/>
      <c r="K3598" s="19"/>
      <c r="L3598" s="19"/>
      <c r="M3598" s="19"/>
      <c r="N3598" s="19"/>
      <c r="O3598" s="19"/>
      <c r="P3598" s="19"/>
      <c r="Q3598" s="19"/>
      <c r="R3598" s="20"/>
    </row>
    <row r="3599" spans="1:19" x14ac:dyDescent="0.35">
      <c r="A3599" s="82"/>
      <c r="B3599" s="19"/>
      <c r="C3599" s="19"/>
      <c r="D3599" s="19"/>
      <c r="E3599" s="19"/>
      <c r="F3599" s="19"/>
      <c r="G3599" s="19"/>
      <c r="H3599" s="19"/>
      <c r="I3599" s="19"/>
      <c r="J3599" s="19"/>
      <c r="K3599" s="19"/>
      <c r="L3599" s="19"/>
      <c r="M3599" s="19"/>
      <c r="N3599" s="19"/>
      <c r="O3599" s="19"/>
      <c r="P3599" s="19"/>
      <c r="Q3599" s="19"/>
      <c r="R3599" s="20"/>
    </row>
    <row r="3600" spans="1:19" x14ac:dyDescent="0.35">
      <c r="A3600" s="82"/>
      <c r="B3600" s="19"/>
      <c r="C3600" s="19"/>
      <c r="D3600" s="19"/>
      <c r="E3600" s="19"/>
      <c r="F3600" s="19"/>
      <c r="G3600" s="19"/>
      <c r="H3600" s="19"/>
      <c r="I3600" s="19"/>
      <c r="J3600" s="19"/>
      <c r="K3600" s="19"/>
      <c r="L3600" s="19"/>
      <c r="M3600" s="19"/>
      <c r="N3600" s="19"/>
      <c r="O3600" s="19"/>
      <c r="P3600" s="19"/>
      <c r="Q3600" s="19"/>
      <c r="R3600" s="20"/>
    </row>
    <row r="3601" spans="1:19" x14ac:dyDescent="0.35">
      <c r="A3601" s="82"/>
      <c r="B3601" s="19"/>
      <c r="C3601" s="19"/>
      <c r="D3601" s="19"/>
      <c r="E3601" s="19"/>
      <c r="F3601" s="19"/>
      <c r="G3601" s="19"/>
      <c r="H3601" s="19"/>
      <c r="I3601" s="19"/>
      <c r="J3601" s="19"/>
      <c r="K3601" s="19"/>
      <c r="L3601" s="19"/>
      <c r="M3601" s="19"/>
      <c r="N3601" s="19"/>
      <c r="O3601" s="19"/>
      <c r="P3601" s="19"/>
      <c r="Q3601" s="19"/>
      <c r="R3601" s="20"/>
    </row>
    <row r="3602" spans="1:19" x14ac:dyDescent="0.35">
      <c r="A3602" s="81"/>
      <c r="B3602" s="17"/>
      <c r="C3602" s="17"/>
      <c r="D3602" s="17"/>
      <c r="E3602" s="17"/>
      <c r="F3602" s="17"/>
      <c r="G3602" s="17"/>
      <c r="H3602" s="17"/>
      <c r="I3602" s="17"/>
      <c r="J3602" s="17"/>
      <c r="K3602" s="17"/>
      <c r="L3602" s="17"/>
      <c r="M3602" s="17"/>
      <c r="N3602" s="17"/>
      <c r="O3602" s="17"/>
      <c r="P3602" s="17"/>
      <c r="Q3602" s="17"/>
      <c r="R3602" s="18"/>
      <c r="S3602" s="30"/>
    </row>
    <row r="3603" spans="1:19" x14ac:dyDescent="0.35">
      <c r="A3603" s="82"/>
      <c r="B3603" s="19"/>
      <c r="C3603" s="19"/>
      <c r="D3603" s="19"/>
      <c r="E3603" s="19"/>
      <c r="F3603" s="19"/>
      <c r="G3603" s="19"/>
      <c r="H3603" s="19"/>
      <c r="I3603" s="19"/>
      <c r="J3603" s="19"/>
      <c r="K3603" s="19"/>
      <c r="L3603" s="19"/>
      <c r="M3603" s="19"/>
      <c r="N3603" s="19"/>
      <c r="O3603" s="19"/>
      <c r="P3603" s="19"/>
      <c r="Q3603" s="19"/>
      <c r="R3603" s="20"/>
    </row>
    <row r="3604" spans="1:19" x14ac:dyDescent="0.35">
      <c r="A3604" s="81"/>
      <c r="B3604" s="17"/>
      <c r="C3604" s="17"/>
      <c r="D3604" s="17"/>
      <c r="E3604" s="17"/>
      <c r="F3604" s="17"/>
      <c r="G3604" s="17"/>
      <c r="H3604" s="17"/>
      <c r="I3604" s="17"/>
      <c r="J3604" s="17"/>
      <c r="K3604" s="17"/>
      <c r="L3604" s="17"/>
      <c r="M3604" s="17"/>
      <c r="N3604" s="17"/>
      <c r="O3604" s="17"/>
      <c r="P3604" s="17"/>
      <c r="Q3604" s="17"/>
      <c r="R3604" s="18"/>
    </row>
    <row r="3605" spans="1:19" x14ac:dyDescent="0.35">
      <c r="A3605" s="82"/>
      <c r="B3605" s="19"/>
      <c r="C3605" s="19"/>
      <c r="D3605" s="19"/>
      <c r="E3605" s="19"/>
      <c r="F3605" s="19"/>
      <c r="G3605" s="19"/>
      <c r="H3605" s="19"/>
      <c r="I3605" s="19"/>
      <c r="J3605" s="19"/>
      <c r="K3605" s="19"/>
      <c r="L3605" s="19"/>
      <c r="M3605" s="19"/>
      <c r="N3605" s="19"/>
      <c r="O3605" s="19"/>
      <c r="P3605" s="19"/>
      <c r="Q3605" s="19"/>
      <c r="R3605" s="20"/>
    </row>
    <row r="3606" spans="1:19" x14ac:dyDescent="0.35">
      <c r="A3606" s="81"/>
      <c r="B3606" s="17"/>
      <c r="C3606" s="17"/>
      <c r="D3606" s="17"/>
      <c r="E3606" s="17"/>
      <c r="F3606" s="17"/>
      <c r="G3606" s="17"/>
      <c r="H3606" s="17"/>
      <c r="I3606" s="17"/>
      <c r="J3606" s="17"/>
      <c r="K3606" s="17"/>
      <c r="L3606" s="17"/>
      <c r="M3606" s="17"/>
      <c r="N3606" s="17"/>
      <c r="O3606" s="17"/>
      <c r="P3606" s="17"/>
      <c r="Q3606" s="17"/>
      <c r="R3606" s="18"/>
    </row>
    <row r="3607" spans="1:19" x14ac:dyDescent="0.35">
      <c r="A3607" s="81"/>
      <c r="B3607" s="17"/>
      <c r="C3607" s="17"/>
      <c r="D3607" s="17"/>
      <c r="E3607" s="17"/>
      <c r="F3607" s="17"/>
      <c r="G3607" s="17"/>
      <c r="H3607" s="17"/>
      <c r="I3607" s="17"/>
      <c r="J3607" s="17"/>
      <c r="K3607" s="17"/>
      <c r="L3607" s="17"/>
      <c r="M3607" s="17"/>
      <c r="N3607" s="17"/>
      <c r="O3607" s="17"/>
      <c r="P3607" s="17"/>
      <c r="Q3607" s="17"/>
      <c r="R3607" s="18"/>
    </row>
    <row r="3608" spans="1:19" x14ac:dyDescent="0.35">
      <c r="A3608" s="82"/>
      <c r="B3608" s="19"/>
      <c r="C3608" s="19"/>
      <c r="D3608" s="19"/>
      <c r="E3608" s="19"/>
      <c r="F3608" s="19"/>
      <c r="G3608" s="19"/>
      <c r="H3608" s="19"/>
      <c r="I3608" s="19"/>
      <c r="J3608" s="19"/>
      <c r="K3608" s="19"/>
      <c r="L3608" s="19"/>
      <c r="M3608" s="19"/>
      <c r="N3608" s="19"/>
      <c r="O3608" s="19"/>
      <c r="P3608" s="19"/>
      <c r="Q3608" s="19"/>
      <c r="R3608" s="20"/>
    </row>
    <row r="3609" spans="1:19" x14ac:dyDescent="0.35">
      <c r="A3609" s="82"/>
      <c r="B3609" s="19"/>
      <c r="C3609" s="19"/>
      <c r="D3609" s="19"/>
      <c r="E3609" s="19"/>
      <c r="F3609" s="19"/>
      <c r="G3609" s="19"/>
      <c r="H3609" s="19"/>
      <c r="I3609" s="19"/>
      <c r="J3609" s="19"/>
      <c r="K3609" s="19"/>
      <c r="L3609" s="19"/>
      <c r="M3609" s="19"/>
      <c r="N3609" s="19"/>
      <c r="O3609" s="19"/>
      <c r="P3609" s="19"/>
      <c r="Q3609" s="19"/>
      <c r="R3609" s="20"/>
    </row>
    <row r="3610" spans="1:19" x14ac:dyDescent="0.35">
      <c r="A3610" s="82"/>
      <c r="B3610" s="19"/>
      <c r="C3610" s="19"/>
      <c r="D3610" s="19"/>
      <c r="E3610" s="19"/>
      <c r="F3610" s="19"/>
      <c r="G3610" s="19"/>
      <c r="H3610" s="19"/>
      <c r="I3610" s="19"/>
      <c r="J3610" s="19"/>
      <c r="K3610" s="19"/>
      <c r="L3610" s="19"/>
      <c r="M3610" s="19"/>
      <c r="N3610" s="19"/>
      <c r="O3610" s="19"/>
      <c r="P3610" s="19"/>
      <c r="Q3610" s="19"/>
      <c r="R3610" s="20"/>
    </row>
    <row r="3611" spans="1:19" x14ac:dyDescent="0.35">
      <c r="A3611" s="82"/>
      <c r="B3611" s="19"/>
      <c r="C3611" s="19"/>
      <c r="D3611" s="19"/>
      <c r="E3611" s="19"/>
      <c r="F3611" s="19"/>
      <c r="G3611" s="19"/>
      <c r="H3611" s="19"/>
      <c r="I3611" s="19"/>
      <c r="J3611" s="19"/>
      <c r="K3611" s="19"/>
      <c r="L3611" s="19"/>
      <c r="M3611" s="19"/>
      <c r="N3611" s="19"/>
      <c r="O3611" s="19"/>
      <c r="P3611" s="19"/>
      <c r="Q3611" s="19"/>
      <c r="R3611" s="20"/>
    </row>
    <row r="3612" spans="1:19" x14ac:dyDescent="0.35">
      <c r="A3612" s="82"/>
      <c r="B3612" s="19"/>
      <c r="C3612" s="19"/>
      <c r="D3612" s="19"/>
      <c r="E3612" s="19"/>
      <c r="F3612" s="19"/>
      <c r="G3612" s="19"/>
      <c r="H3612" s="19"/>
      <c r="I3612" s="19"/>
      <c r="J3612" s="19"/>
      <c r="K3612" s="19"/>
      <c r="L3612" s="19"/>
      <c r="M3612" s="19"/>
      <c r="N3612" s="19"/>
      <c r="O3612" s="19"/>
      <c r="P3612" s="19"/>
      <c r="Q3612" s="19"/>
      <c r="R3612" s="20"/>
    </row>
    <row r="3613" spans="1:19" x14ac:dyDescent="0.35">
      <c r="A3613" s="81"/>
      <c r="B3613" s="17"/>
      <c r="C3613" s="17"/>
      <c r="D3613" s="17"/>
      <c r="E3613" s="17"/>
      <c r="F3613" s="17"/>
      <c r="G3613" s="17"/>
      <c r="H3613" s="17"/>
      <c r="I3613" s="17"/>
      <c r="J3613" s="17"/>
      <c r="K3613" s="17"/>
      <c r="L3613" s="17"/>
      <c r="M3613" s="17"/>
      <c r="N3613" s="17"/>
      <c r="O3613" s="17"/>
      <c r="P3613" s="17"/>
      <c r="Q3613" s="17"/>
      <c r="R3613" s="18"/>
    </row>
    <row r="3614" spans="1:19" x14ac:dyDescent="0.35">
      <c r="A3614" s="81"/>
      <c r="B3614" s="17"/>
      <c r="C3614" s="17"/>
      <c r="D3614" s="17"/>
      <c r="E3614" s="17"/>
      <c r="F3614" s="17"/>
      <c r="G3614" s="17"/>
      <c r="H3614" s="17"/>
      <c r="I3614" s="17"/>
      <c r="J3614" s="17"/>
      <c r="K3614" s="17"/>
      <c r="L3614" s="17"/>
      <c r="M3614" s="17"/>
      <c r="N3614" s="17"/>
      <c r="O3614" s="17"/>
      <c r="P3614" s="17"/>
      <c r="Q3614" s="17"/>
      <c r="R3614" s="18"/>
    </row>
    <row r="3615" spans="1:19" x14ac:dyDescent="0.35">
      <c r="A3615" s="81"/>
      <c r="B3615" s="17"/>
      <c r="C3615" s="17"/>
      <c r="D3615" s="17"/>
      <c r="E3615" s="17"/>
      <c r="F3615" s="17"/>
      <c r="G3615" s="17"/>
      <c r="H3615" s="17"/>
      <c r="I3615" s="17"/>
      <c r="J3615" s="17"/>
      <c r="K3615" s="17"/>
      <c r="L3615" s="17"/>
      <c r="M3615" s="17"/>
      <c r="N3615" s="17"/>
      <c r="O3615" s="17"/>
      <c r="P3615" s="17"/>
      <c r="Q3615" s="17"/>
      <c r="R3615" s="18"/>
      <c r="S3615" s="30"/>
    </row>
    <row r="3616" spans="1:19" x14ac:dyDescent="0.35">
      <c r="A3616" s="82"/>
      <c r="B3616" s="19"/>
      <c r="C3616" s="19"/>
      <c r="D3616" s="19"/>
      <c r="E3616" s="19"/>
      <c r="F3616" s="19"/>
      <c r="G3616" s="19"/>
      <c r="H3616" s="19"/>
      <c r="I3616" s="19"/>
      <c r="J3616" s="19"/>
      <c r="K3616" s="19"/>
      <c r="L3616" s="19"/>
      <c r="M3616" s="19"/>
      <c r="N3616" s="19"/>
      <c r="O3616" s="19"/>
      <c r="P3616" s="19"/>
      <c r="Q3616" s="19"/>
      <c r="R3616" s="20"/>
      <c r="S3616" s="30"/>
    </row>
    <row r="3617" spans="1:19" x14ac:dyDescent="0.35">
      <c r="A3617" s="82"/>
      <c r="B3617" s="19"/>
      <c r="C3617" s="19"/>
      <c r="D3617" s="19"/>
      <c r="E3617" s="19"/>
      <c r="F3617" s="19"/>
      <c r="G3617" s="19"/>
      <c r="H3617" s="19"/>
      <c r="I3617" s="19"/>
      <c r="J3617" s="19"/>
      <c r="K3617" s="19"/>
      <c r="L3617" s="19"/>
      <c r="M3617" s="19"/>
      <c r="N3617" s="19"/>
      <c r="O3617" s="19"/>
      <c r="P3617" s="19"/>
      <c r="Q3617" s="19"/>
      <c r="R3617" s="20"/>
      <c r="S3617" s="30"/>
    </row>
    <row r="3618" spans="1:19" x14ac:dyDescent="0.35">
      <c r="A3618" s="82"/>
      <c r="B3618" s="19"/>
      <c r="C3618" s="19"/>
      <c r="D3618" s="19"/>
      <c r="E3618" s="19"/>
      <c r="F3618" s="19"/>
      <c r="G3618" s="19"/>
      <c r="H3618" s="19"/>
      <c r="I3618" s="19"/>
      <c r="J3618" s="19"/>
      <c r="K3618" s="19"/>
      <c r="L3618" s="19"/>
      <c r="M3618" s="19"/>
      <c r="N3618" s="19"/>
      <c r="O3618" s="19"/>
      <c r="P3618" s="19"/>
      <c r="Q3618" s="19"/>
      <c r="R3618" s="20"/>
      <c r="S3618" s="20"/>
    </row>
    <row r="3619" spans="1:19" x14ac:dyDescent="0.35">
      <c r="A3619" s="82"/>
      <c r="B3619" s="19"/>
      <c r="C3619" s="19"/>
      <c r="D3619" s="19"/>
      <c r="E3619" s="19"/>
      <c r="F3619" s="19"/>
      <c r="G3619" s="19"/>
      <c r="H3619" s="19"/>
      <c r="I3619" s="19"/>
      <c r="J3619" s="19"/>
      <c r="K3619" s="19"/>
      <c r="L3619" s="19"/>
      <c r="M3619" s="19"/>
      <c r="N3619" s="19"/>
      <c r="O3619" s="19"/>
      <c r="P3619" s="19"/>
      <c r="Q3619" s="19"/>
      <c r="R3619" s="20"/>
      <c r="S3619" s="20"/>
    </row>
    <row r="3620" spans="1:19" x14ac:dyDescent="0.35">
      <c r="A3620" s="82"/>
      <c r="B3620" s="19"/>
      <c r="C3620" s="19"/>
      <c r="D3620" s="19"/>
      <c r="E3620" s="19"/>
      <c r="F3620" s="19"/>
      <c r="G3620" s="19"/>
      <c r="H3620" s="19"/>
      <c r="I3620" s="19"/>
      <c r="J3620" s="19"/>
      <c r="K3620" s="19"/>
      <c r="L3620" s="19"/>
      <c r="M3620" s="19"/>
      <c r="N3620" s="19"/>
      <c r="O3620" s="19"/>
      <c r="P3620" s="19"/>
      <c r="Q3620" s="19"/>
      <c r="R3620" s="20"/>
      <c r="S3620" s="20"/>
    </row>
    <row r="3621" spans="1:19" x14ac:dyDescent="0.35">
      <c r="A3621" s="82"/>
      <c r="B3621" s="19"/>
      <c r="C3621" s="19"/>
      <c r="D3621" s="19"/>
      <c r="E3621" s="19"/>
      <c r="F3621" s="19"/>
      <c r="G3621" s="19"/>
      <c r="H3621" s="19"/>
      <c r="I3621" s="19"/>
      <c r="J3621" s="19"/>
      <c r="K3621" s="19"/>
      <c r="L3621" s="19"/>
      <c r="M3621" s="19"/>
      <c r="N3621" s="19"/>
      <c r="O3621" s="19"/>
      <c r="P3621" s="19"/>
      <c r="Q3621" s="19"/>
      <c r="R3621" s="20"/>
      <c r="S3621" s="20"/>
    </row>
    <row r="3622" spans="1:19" x14ac:dyDescent="0.35">
      <c r="A3622" s="81"/>
      <c r="B3622" s="17"/>
      <c r="C3622" s="17"/>
      <c r="D3622" s="17"/>
      <c r="E3622" s="17"/>
      <c r="F3622" s="17"/>
      <c r="G3622" s="17"/>
      <c r="H3622" s="17"/>
      <c r="I3622" s="17"/>
      <c r="J3622" s="17"/>
      <c r="K3622" s="17"/>
      <c r="L3622" s="17"/>
      <c r="M3622" s="17"/>
      <c r="N3622" s="17"/>
      <c r="O3622" s="17"/>
      <c r="P3622" s="17"/>
      <c r="Q3622" s="17"/>
      <c r="R3622" s="18"/>
      <c r="S3622" s="18"/>
    </row>
    <row r="3623" spans="1:19" x14ac:dyDescent="0.35">
      <c r="A3623" s="81"/>
      <c r="B3623" s="17"/>
      <c r="C3623" s="17"/>
      <c r="D3623" s="17"/>
      <c r="E3623" s="17"/>
      <c r="F3623" s="17"/>
      <c r="G3623" s="17"/>
      <c r="H3623" s="17"/>
      <c r="I3623" s="17"/>
      <c r="J3623" s="17"/>
      <c r="K3623" s="17"/>
      <c r="L3623" s="17"/>
      <c r="M3623" s="17"/>
      <c r="N3623" s="17"/>
      <c r="O3623" s="17"/>
      <c r="P3623" s="17"/>
      <c r="Q3623" s="17"/>
      <c r="R3623" s="18"/>
      <c r="S3623" s="20"/>
    </row>
    <row r="3624" spans="1:19" x14ac:dyDescent="0.35">
      <c r="A3624" s="82"/>
      <c r="B3624" s="19"/>
      <c r="C3624" s="19"/>
      <c r="D3624" s="19"/>
      <c r="E3624" s="19"/>
      <c r="F3624" s="19"/>
      <c r="G3624" s="19"/>
      <c r="H3624" s="19"/>
      <c r="I3624" s="19"/>
      <c r="J3624" s="19"/>
      <c r="K3624" s="19"/>
      <c r="L3624" s="19"/>
      <c r="M3624" s="19"/>
      <c r="N3624" s="19"/>
      <c r="O3624" s="19"/>
      <c r="P3624" s="19"/>
      <c r="Q3624" s="19"/>
      <c r="R3624" s="20"/>
      <c r="S3624" s="20"/>
    </row>
    <row r="3625" spans="1:19" x14ac:dyDescent="0.35">
      <c r="A3625" s="82"/>
      <c r="B3625" s="19"/>
      <c r="C3625" s="19"/>
      <c r="D3625" s="19"/>
      <c r="E3625" s="19"/>
      <c r="F3625" s="19"/>
      <c r="G3625" s="19"/>
      <c r="H3625" s="19"/>
      <c r="I3625" s="19"/>
      <c r="J3625" s="19"/>
      <c r="K3625" s="19"/>
      <c r="L3625" s="19"/>
      <c r="M3625" s="19"/>
      <c r="N3625" s="19"/>
      <c r="O3625" s="19"/>
      <c r="P3625" s="19"/>
      <c r="Q3625" s="19"/>
      <c r="R3625" s="20"/>
      <c r="S3625" s="20"/>
    </row>
    <row r="3626" spans="1:19" x14ac:dyDescent="0.35">
      <c r="A3626" s="81"/>
      <c r="B3626" s="17"/>
      <c r="C3626" s="17"/>
      <c r="D3626" s="17"/>
      <c r="E3626" s="17"/>
      <c r="F3626" s="17"/>
      <c r="G3626" s="17"/>
      <c r="H3626" s="17"/>
      <c r="I3626" s="17"/>
      <c r="J3626" s="17"/>
      <c r="K3626" s="17"/>
      <c r="L3626" s="17"/>
      <c r="M3626" s="17"/>
      <c r="N3626" s="17"/>
      <c r="O3626" s="17"/>
      <c r="P3626" s="17"/>
      <c r="Q3626" s="17"/>
      <c r="R3626" s="18"/>
      <c r="S3626" s="20"/>
    </row>
    <row r="3627" spans="1:19" x14ac:dyDescent="0.35">
      <c r="A3627" s="81"/>
      <c r="B3627" s="17"/>
      <c r="C3627" s="17"/>
      <c r="D3627" s="17"/>
      <c r="E3627" s="17"/>
      <c r="F3627" s="17"/>
      <c r="G3627" s="17"/>
      <c r="H3627" s="17"/>
      <c r="I3627" s="17"/>
      <c r="J3627" s="17"/>
      <c r="K3627" s="17"/>
      <c r="L3627" s="17"/>
      <c r="M3627" s="17"/>
      <c r="N3627" s="17"/>
      <c r="O3627" s="17"/>
      <c r="P3627" s="17"/>
      <c r="Q3627" s="17"/>
      <c r="R3627" s="18"/>
      <c r="S3627" s="20"/>
    </row>
    <row r="3628" spans="1:19" x14ac:dyDescent="0.35">
      <c r="A3628" s="82"/>
      <c r="B3628" s="19"/>
      <c r="C3628" s="19"/>
      <c r="D3628" s="19"/>
      <c r="E3628" s="19"/>
      <c r="F3628" s="19"/>
      <c r="G3628" s="19"/>
      <c r="H3628" s="19"/>
      <c r="I3628" s="19"/>
      <c r="J3628" s="19"/>
      <c r="K3628" s="19"/>
      <c r="L3628" s="19"/>
      <c r="M3628" s="19"/>
      <c r="N3628" s="19"/>
      <c r="O3628" s="19"/>
      <c r="P3628" s="19"/>
      <c r="Q3628" s="19"/>
      <c r="R3628" s="20"/>
      <c r="S3628" s="20"/>
    </row>
    <row r="3629" spans="1:19" x14ac:dyDescent="0.35">
      <c r="A3629" s="82"/>
      <c r="B3629" s="19"/>
      <c r="C3629" s="19"/>
      <c r="D3629" s="19"/>
      <c r="E3629" s="19"/>
      <c r="F3629" s="19"/>
      <c r="G3629" s="19"/>
      <c r="H3629" s="19"/>
      <c r="I3629" s="19"/>
      <c r="J3629" s="19"/>
      <c r="K3629" s="19"/>
      <c r="L3629" s="19"/>
      <c r="M3629" s="19"/>
      <c r="N3629" s="19"/>
      <c r="O3629" s="19"/>
      <c r="P3629" s="19"/>
      <c r="Q3629" s="19"/>
      <c r="R3629" s="20"/>
      <c r="S3629" s="20"/>
    </row>
    <row r="3630" spans="1:19" x14ac:dyDescent="0.35">
      <c r="A3630" s="82"/>
      <c r="B3630" s="19"/>
      <c r="C3630" s="19"/>
      <c r="D3630" s="19"/>
      <c r="E3630" s="19"/>
      <c r="F3630" s="19"/>
      <c r="G3630" s="19"/>
      <c r="H3630" s="19"/>
      <c r="I3630" s="19"/>
      <c r="J3630" s="19"/>
      <c r="K3630" s="19"/>
      <c r="L3630" s="19"/>
      <c r="M3630" s="19"/>
      <c r="N3630" s="19"/>
      <c r="O3630" s="19"/>
      <c r="P3630" s="19"/>
      <c r="Q3630" s="19"/>
      <c r="R3630" s="20"/>
      <c r="S3630" s="18"/>
    </row>
    <row r="3631" spans="1:19" x14ac:dyDescent="0.35">
      <c r="A3631" s="81"/>
      <c r="B3631" s="17"/>
      <c r="C3631" s="17"/>
      <c r="D3631" s="17"/>
      <c r="E3631" s="17"/>
      <c r="F3631" s="17"/>
      <c r="G3631" s="17"/>
      <c r="H3631" s="17"/>
      <c r="I3631" s="17"/>
      <c r="J3631" s="17"/>
      <c r="K3631" s="17"/>
      <c r="L3631" s="17"/>
      <c r="M3631" s="17"/>
      <c r="N3631" s="17"/>
      <c r="O3631" s="17"/>
      <c r="P3631" s="17"/>
      <c r="Q3631" s="17"/>
      <c r="R3631" s="18"/>
      <c r="S3631" s="20"/>
    </row>
    <row r="3632" spans="1:19" x14ac:dyDescent="0.35">
      <c r="A3632" s="81"/>
      <c r="B3632" s="17"/>
      <c r="C3632" s="17"/>
      <c r="D3632" s="17"/>
      <c r="E3632" s="17"/>
      <c r="F3632" s="17"/>
      <c r="G3632" s="17"/>
      <c r="H3632" s="17"/>
      <c r="I3632" s="17"/>
      <c r="J3632" s="17"/>
      <c r="K3632" s="17"/>
      <c r="L3632" s="17"/>
      <c r="M3632" s="17"/>
      <c r="N3632" s="17"/>
      <c r="O3632" s="17"/>
      <c r="P3632" s="17"/>
      <c r="Q3632" s="17"/>
      <c r="R3632" s="18"/>
      <c r="S3632" s="18"/>
    </row>
    <row r="3633" spans="1:19" x14ac:dyDescent="0.35">
      <c r="A3633" s="81"/>
      <c r="B3633" s="17"/>
      <c r="C3633" s="17"/>
      <c r="D3633" s="17"/>
      <c r="E3633" s="17"/>
      <c r="F3633" s="17"/>
      <c r="G3633" s="17"/>
      <c r="H3633" s="17"/>
      <c r="I3633" s="17"/>
      <c r="J3633" s="17"/>
      <c r="K3633" s="17"/>
      <c r="L3633" s="17"/>
      <c r="M3633" s="17"/>
      <c r="N3633" s="17"/>
      <c r="O3633" s="17"/>
      <c r="P3633" s="17"/>
      <c r="Q3633" s="17"/>
      <c r="R3633" s="18"/>
      <c r="S3633" s="20"/>
    </row>
    <row r="3634" spans="1:19" x14ac:dyDescent="0.35">
      <c r="A3634" s="82"/>
      <c r="B3634" s="19"/>
      <c r="C3634" s="19"/>
      <c r="D3634" s="19"/>
      <c r="E3634" s="19"/>
      <c r="F3634" s="19"/>
      <c r="G3634" s="19"/>
      <c r="H3634" s="19"/>
      <c r="I3634" s="19"/>
      <c r="J3634" s="19"/>
      <c r="K3634" s="19"/>
      <c r="L3634" s="19"/>
      <c r="M3634" s="19"/>
      <c r="N3634" s="19"/>
      <c r="O3634" s="19"/>
      <c r="P3634" s="19"/>
      <c r="Q3634" s="19"/>
      <c r="R3634" s="20"/>
      <c r="S3634" s="20"/>
    </row>
    <row r="3635" spans="1:19" x14ac:dyDescent="0.35">
      <c r="A3635" s="82"/>
      <c r="B3635" s="19"/>
      <c r="C3635" s="19"/>
      <c r="D3635" s="19"/>
      <c r="E3635" s="19"/>
      <c r="F3635" s="19"/>
      <c r="G3635" s="19"/>
      <c r="H3635" s="19"/>
      <c r="I3635" s="19"/>
      <c r="J3635" s="19"/>
      <c r="K3635" s="19"/>
      <c r="L3635" s="19"/>
      <c r="M3635" s="19"/>
      <c r="N3635" s="19"/>
      <c r="O3635" s="19"/>
      <c r="P3635" s="19"/>
      <c r="Q3635" s="19"/>
      <c r="R3635" s="20"/>
      <c r="S3635" s="20"/>
    </row>
    <row r="3636" spans="1:19" x14ac:dyDescent="0.35">
      <c r="A3636" s="82"/>
      <c r="B3636" s="19"/>
      <c r="C3636" s="19"/>
      <c r="D3636" s="19"/>
      <c r="E3636" s="19"/>
      <c r="F3636" s="19"/>
      <c r="G3636" s="19"/>
      <c r="H3636" s="19"/>
      <c r="I3636" s="19"/>
      <c r="J3636" s="19"/>
      <c r="K3636" s="19"/>
      <c r="L3636" s="19"/>
      <c r="M3636" s="19"/>
      <c r="N3636" s="19"/>
      <c r="O3636" s="19"/>
      <c r="P3636" s="19"/>
      <c r="Q3636" s="19"/>
      <c r="R3636" s="20"/>
      <c r="S3636" s="20"/>
    </row>
    <row r="3637" spans="1:19" x14ac:dyDescent="0.35">
      <c r="A3637" s="82"/>
      <c r="B3637" s="19"/>
      <c r="C3637" s="19"/>
      <c r="D3637" s="19"/>
      <c r="E3637" s="19"/>
      <c r="F3637" s="19"/>
      <c r="G3637" s="19"/>
      <c r="H3637" s="19"/>
      <c r="I3637" s="19"/>
      <c r="J3637" s="19"/>
      <c r="K3637" s="19"/>
      <c r="L3637" s="19"/>
      <c r="M3637" s="19"/>
      <c r="N3637" s="19"/>
      <c r="O3637" s="19"/>
      <c r="P3637" s="19"/>
      <c r="Q3637" s="19"/>
      <c r="R3637" s="20"/>
      <c r="S3637" s="20"/>
    </row>
    <row r="3638" spans="1:19" x14ac:dyDescent="0.35">
      <c r="A3638" s="82"/>
      <c r="B3638" s="19"/>
      <c r="C3638" s="19"/>
      <c r="D3638" s="19"/>
      <c r="E3638" s="19"/>
      <c r="F3638" s="19"/>
      <c r="G3638" s="19"/>
      <c r="H3638" s="19"/>
      <c r="I3638" s="19"/>
      <c r="J3638" s="19"/>
      <c r="K3638" s="19"/>
      <c r="L3638" s="19"/>
      <c r="M3638" s="19"/>
      <c r="N3638" s="19"/>
      <c r="O3638" s="19"/>
      <c r="P3638" s="19"/>
      <c r="Q3638" s="19"/>
      <c r="R3638" s="20"/>
      <c r="S3638" s="20"/>
    </row>
    <row r="3639" spans="1:19" x14ac:dyDescent="0.35">
      <c r="A3639" s="82"/>
      <c r="B3639" s="19"/>
      <c r="C3639" s="19"/>
      <c r="D3639" s="19"/>
      <c r="E3639" s="19"/>
      <c r="F3639" s="19"/>
      <c r="G3639" s="19"/>
      <c r="H3639" s="19"/>
      <c r="I3639" s="19"/>
      <c r="J3639" s="19"/>
      <c r="K3639" s="19"/>
      <c r="L3639" s="19"/>
      <c r="M3639" s="19"/>
      <c r="N3639" s="19"/>
      <c r="O3639" s="19"/>
      <c r="P3639" s="19"/>
      <c r="Q3639" s="19"/>
      <c r="R3639" s="20"/>
      <c r="S3639" s="20"/>
    </row>
    <row r="3640" spans="1:19" x14ac:dyDescent="0.35">
      <c r="A3640" s="82"/>
      <c r="B3640" s="19"/>
      <c r="C3640" s="19"/>
      <c r="D3640" s="19"/>
      <c r="E3640" s="19"/>
      <c r="F3640" s="19"/>
      <c r="G3640" s="19"/>
      <c r="H3640" s="19"/>
      <c r="I3640" s="19"/>
      <c r="J3640" s="19"/>
      <c r="K3640" s="19"/>
      <c r="L3640" s="19"/>
      <c r="M3640" s="19"/>
      <c r="N3640" s="19"/>
      <c r="O3640" s="19"/>
      <c r="P3640" s="19"/>
      <c r="Q3640" s="19"/>
      <c r="R3640" s="20"/>
      <c r="S3640" s="20"/>
    </row>
    <row r="3641" spans="1:19" x14ac:dyDescent="0.35">
      <c r="A3641" s="81"/>
      <c r="B3641" s="17"/>
      <c r="C3641" s="17"/>
      <c r="D3641" s="17"/>
      <c r="E3641" s="17"/>
      <c r="F3641" s="17"/>
      <c r="G3641" s="17"/>
      <c r="H3641" s="17"/>
      <c r="I3641" s="17"/>
      <c r="J3641" s="17"/>
      <c r="K3641" s="17"/>
      <c r="L3641" s="17"/>
      <c r="M3641" s="17"/>
      <c r="N3641" s="17"/>
      <c r="O3641" s="17"/>
      <c r="P3641" s="17"/>
      <c r="Q3641" s="17"/>
      <c r="R3641" s="18"/>
      <c r="S3641" s="18"/>
    </row>
    <row r="3642" spans="1:19" x14ac:dyDescent="0.35">
      <c r="A3642" s="82"/>
      <c r="B3642" s="19"/>
      <c r="C3642" s="19"/>
      <c r="D3642" s="19"/>
      <c r="E3642" s="19"/>
      <c r="F3642" s="19"/>
      <c r="G3642" s="19"/>
      <c r="H3642" s="19"/>
      <c r="I3642" s="19"/>
      <c r="J3642" s="19"/>
      <c r="K3642" s="19"/>
      <c r="L3642" s="19"/>
      <c r="M3642" s="19"/>
      <c r="N3642" s="19"/>
      <c r="O3642" s="19"/>
      <c r="P3642" s="19"/>
      <c r="Q3642" s="19"/>
      <c r="R3642" s="20"/>
      <c r="S3642" s="20"/>
    </row>
    <row r="3643" spans="1:19" x14ac:dyDescent="0.35">
      <c r="A3643" s="81"/>
      <c r="B3643" s="17"/>
      <c r="C3643" s="17"/>
      <c r="D3643" s="17"/>
      <c r="E3643" s="17"/>
      <c r="F3643" s="17"/>
      <c r="G3643" s="17"/>
      <c r="H3643" s="17"/>
      <c r="I3643" s="17"/>
      <c r="J3643" s="17"/>
      <c r="K3643" s="17"/>
      <c r="L3643" s="17"/>
      <c r="M3643" s="17"/>
      <c r="N3643" s="17"/>
      <c r="O3643" s="17"/>
      <c r="P3643" s="17"/>
      <c r="Q3643" s="17"/>
      <c r="R3643" s="18"/>
      <c r="S3643" s="20"/>
    </row>
    <row r="3644" spans="1:19" x14ac:dyDescent="0.35">
      <c r="A3644" s="81"/>
      <c r="B3644" s="17"/>
      <c r="C3644" s="17"/>
      <c r="D3644" s="17"/>
      <c r="E3644" s="17"/>
      <c r="F3644" s="17"/>
      <c r="G3644" s="17"/>
      <c r="H3644" s="17"/>
      <c r="I3644" s="17"/>
      <c r="J3644" s="17"/>
      <c r="K3644" s="17"/>
      <c r="L3644" s="17"/>
      <c r="M3644" s="17"/>
      <c r="N3644" s="17"/>
      <c r="O3644" s="17"/>
      <c r="P3644" s="17"/>
      <c r="Q3644" s="17"/>
      <c r="R3644" s="18"/>
      <c r="S3644" s="20"/>
    </row>
    <row r="3645" spans="1:19" x14ac:dyDescent="0.35">
      <c r="A3645" s="82"/>
      <c r="B3645" s="19"/>
      <c r="C3645" s="19"/>
      <c r="D3645" s="19"/>
      <c r="E3645" s="19"/>
      <c r="F3645" s="19"/>
      <c r="G3645" s="19"/>
      <c r="H3645" s="19"/>
      <c r="I3645" s="19"/>
      <c r="J3645" s="19"/>
      <c r="K3645" s="19"/>
      <c r="L3645" s="19"/>
      <c r="M3645" s="19"/>
      <c r="N3645" s="19"/>
      <c r="O3645" s="19"/>
      <c r="P3645" s="19"/>
      <c r="Q3645" s="19"/>
      <c r="R3645" s="20"/>
      <c r="S3645" s="20"/>
    </row>
    <row r="3646" spans="1:19" x14ac:dyDescent="0.35">
      <c r="A3646" s="82"/>
      <c r="B3646" s="19"/>
      <c r="C3646" s="19"/>
      <c r="D3646" s="19"/>
      <c r="E3646" s="19"/>
      <c r="F3646" s="19"/>
      <c r="G3646" s="19"/>
      <c r="H3646" s="19"/>
      <c r="I3646" s="19"/>
      <c r="J3646" s="19"/>
      <c r="K3646" s="19"/>
      <c r="L3646" s="19"/>
      <c r="M3646" s="19"/>
      <c r="N3646" s="19"/>
      <c r="O3646" s="19"/>
      <c r="P3646" s="19"/>
      <c r="Q3646" s="19"/>
      <c r="R3646" s="20"/>
      <c r="S3646" s="20"/>
    </row>
    <row r="3647" spans="1:19" x14ac:dyDescent="0.35">
      <c r="A3647" s="82"/>
      <c r="B3647" s="19"/>
      <c r="C3647" s="19"/>
      <c r="D3647" s="19"/>
      <c r="E3647" s="19"/>
      <c r="F3647" s="19"/>
      <c r="G3647" s="19"/>
      <c r="H3647" s="19"/>
      <c r="I3647" s="19"/>
      <c r="J3647" s="19"/>
      <c r="K3647" s="19"/>
      <c r="L3647" s="19"/>
      <c r="M3647" s="19"/>
      <c r="N3647" s="19"/>
      <c r="O3647" s="19"/>
      <c r="P3647" s="19"/>
      <c r="Q3647" s="19"/>
      <c r="R3647" s="20"/>
      <c r="S3647" s="20"/>
    </row>
    <row r="3648" spans="1:19" x14ac:dyDescent="0.35">
      <c r="A3648" s="81"/>
      <c r="B3648" s="17"/>
      <c r="C3648" s="17"/>
      <c r="D3648" s="17"/>
      <c r="E3648" s="17"/>
      <c r="F3648" s="17"/>
      <c r="G3648" s="17"/>
      <c r="H3648" s="17"/>
      <c r="I3648" s="17"/>
      <c r="J3648" s="17"/>
      <c r="K3648" s="17"/>
      <c r="L3648" s="17"/>
      <c r="M3648" s="17"/>
      <c r="N3648" s="17"/>
      <c r="O3648" s="17"/>
      <c r="P3648" s="17"/>
      <c r="Q3648" s="17"/>
      <c r="R3648" s="18"/>
      <c r="S3648" s="18"/>
    </row>
    <row r="3649" spans="1:19" x14ac:dyDescent="0.35">
      <c r="A3649" s="81"/>
      <c r="B3649" s="17"/>
      <c r="C3649" s="17"/>
      <c r="D3649" s="17"/>
      <c r="E3649" s="17"/>
      <c r="F3649" s="17"/>
      <c r="G3649" s="17"/>
      <c r="H3649" s="17"/>
      <c r="I3649" s="17"/>
      <c r="J3649" s="17"/>
      <c r="K3649" s="17"/>
      <c r="L3649" s="19"/>
      <c r="M3649" s="19"/>
      <c r="N3649" s="19"/>
      <c r="O3649" s="17"/>
      <c r="P3649" s="17"/>
      <c r="Q3649" s="17"/>
      <c r="R3649" s="18"/>
      <c r="S3649" s="20"/>
    </row>
    <row r="3650" spans="1:19" x14ac:dyDescent="0.35">
      <c r="A3650" s="81"/>
      <c r="B3650" s="17"/>
      <c r="C3650" s="17"/>
      <c r="D3650" s="17"/>
      <c r="E3650" s="17"/>
      <c r="F3650" s="17"/>
      <c r="G3650" s="17"/>
      <c r="H3650" s="17"/>
      <c r="I3650" s="17"/>
      <c r="J3650" s="17"/>
      <c r="K3650" s="17"/>
      <c r="L3650" s="17"/>
      <c r="M3650" s="17"/>
      <c r="N3650" s="17"/>
      <c r="O3650" s="17"/>
      <c r="P3650" s="17"/>
      <c r="Q3650" s="17"/>
      <c r="R3650" s="18"/>
      <c r="S3650" s="20"/>
    </row>
    <row r="3651" spans="1:19" x14ac:dyDescent="0.35">
      <c r="A3651" s="82"/>
      <c r="B3651" s="19"/>
      <c r="C3651" s="19"/>
      <c r="D3651" s="19"/>
      <c r="E3651" s="19"/>
      <c r="F3651" s="19"/>
      <c r="G3651" s="19"/>
      <c r="H3651" s="19"/>
      <c r="I3651" s="19"/>
      <c r="J3651" s="19"/>
      <c r="K3651" s="19"/>
      <c r="L3651" s="19"/>
      <c r="M3651" s="19"/>
      <c r="N3651" s="19"/>
      <c r="O3651" s="19"/>
      <c r="P3651" s="19"/>
      <c r="Q3651" s="19"/>
      <c r="R3651" s="20"/>
      <c r="S3651" s="20"/>
    </row>
    <row r="3652" spans="1:19" x14ac:dyDescent="0.35">
      <c r="A3652" s="82"/>
      <c r="B3652" s="19"/>
      <c r="C3652" s="19"/>
      <c r="D3652" s="19"/>
      <c r="E3652" s="19"/>
      <c r="F3652" s="19"/>
      <c r="G3652" s="19"/>
      <c r="H3652" s="19"/>
      <c r="I3652" s="19"/>
      <c r="J3652" s="19"/>
      <c r="K3652" s="19"/>
      <c r="L3652" s="19"/>
      <c r="M3652" s="19"/>
      <c r="N3652" s="19"/>
      <c r="O3652" s="19"/>
      <c r="P3652" s="19"/>
      <c r="Q3652" s="19"/>
      <c r="R3652" s="20"/>
      <c r="S3652" s="20"/>
    </row>
    <row r="3653" spans="1:19" x14ac:dyDescent="0.35">
      <c r="A3653" s="81"/>
      <c r="B3653" s="17"/>
      <c r="C3653" s="17"/>
      <c r="D3653" s="17"/>
      <c r="E3653" s="17"/>
      <c r="F3653" s="17"/>
      <c r="G3653" s="17"/>
      <c r="H3653" s="17"/>
      <c r="I3653" s="17"/>
      <c r="J3653" s="17"/>
      <c r="K3653" s="17"/>
      <c r="L3653" s="17"/>
      <c r="M3653" s="17"/>
      <c r="N3653" s="17"/>
      <c r="O3653" s="17"/>
      <c r="P3653" s="17"/>
      <c r="Q3653" s="17"/>
      <c r="R3653" s="18"/>
      <c r="S3653" s="18"/>
    </row>
    <row r="3654" spans="1:19" x14ac:dyDescent="0.35">
      <c r="A3654" s="82"/>
      <c r="B3654" s="19"/>
      <c r="C3654" s="19"/>
      <c r="D3654" s="19"/>
      <c r="E3654" s="19"/>
      <c r="F3654" s="19"/>
      <c r="G3654" s="19"/>
      <c r="H3654" s="19"/>
      <c r="I3654" s="19"/>
      <c r="J3654" s="19"/>
      <c r="K3654" s="19"/>
      <c r="L3654" s="19"/>
      <c r="M3654" s="19"/>
      <c r="N3654" s="19"/>
      <c r="O3654" s="19"/>
      <c r="P3654" s="19"/>
      <c r="Q3654" s="19"/>
      <c r="R3654" s="20"/>
      <c r="S3654" s="18"/>
    </row>
    <row r="3655" spans="1:19" x14ac:dyDescent="0.35">
      <c r="A3655" s="82"/>
      <c r="B3655" s="19"/>
      <c r="C3655" s="19"/>
      <c r="D3655" s="19"/>
      <c r="E3655" s="19"/>
      <c r="F3655" s="19"/>
      <c r="G3655" s="19"/>
      <c r="H3655" s="19"/>
      <c r="I3655" s="19"/>
      <c r="J3655" s="19"/>
      <c r="K3655" s="19"/>
      <c r="L3655" s="19"/>
      <c r="M3655" s="19"/>
      <c r="N3655" s="19"/>
      <c r="O3655" s="19"/>
      <c r="P3655" s="19"/>
      <c r="Q3655" s="19"/>
      <c r="R3655" s="20"/>
      <c r="S3655" s="18"/>
    </row>
    <row r="3656" spans="1:19" x14ac:dyDescent="0.35">
      <c r="A3656" s="82"/>
      <c r="B3656" s="19"/>
      <c r="C3656" s="19"/>
      <c r="D3656" s="19"/>
      <c r="E3656" s="19"/>
      <c r="F3656" s="19"/>
      <c r="G3656" s="19"/>
      <c r="H3656" s="19"/>
      <c r="I3656" s="19"/>
      <c r="J3656" s="19"/>
      <c r="K3656" s="19"/>
      <c r="L3656" s="19"/>
      <c r="M3656" s="19"/>
      <c r="N3656" s="19"/>
      <c r="O3656" s="19"/>
      <c r="P3656" s="19"/>
      <c r="Q3656" s="19"/>
      <c r="R3656" s="20"/>
      <c r="S3656" s="20"/>
    </row>
    <row r="3657" spans="1:19" x14ac:dyDescent="0.35">
      <c r="A3657" s="82"/>
      <c r="B3657" s="19"/>
      <c r="C3657" s="19"/>
      <c r="D3657" s="19"/>
      <c r="E3657" s="19"/>
      <c r="F3657" s="19"/>
      <c r="G3657" s="19"/>
      <c r="H3657" s="19"/>
      <c r="I3657" s="19"/>
      <c r="J3657" s="19"/>
      <c r="K3657" s="19"/>
      <c r="L3657" s="19"/>
      <c r="M3657" s="19"/>
      <c r="N3657" s="19"/>
      <c r="O3657" s="19"/>
      <c r="P3657" s="19"/>
      <c r="Q3657" s="19"/>
      <c r="R3657" s="20"/>
      <c r="S3657" s="20"/>
    </row>
    <row r="3658" spans="1:19" x14ac:dyDescent="0.35">
      <c r="A3658" s="82"/>
      <c r="B3658" s="19"/>
      <c r="C3658" s="19"/>
      <c r="D3658" s="19"/>
      <c r="E3658" s="19"/>
      <c r="F3658" s="19"/>
      <c r="G3658" s="19"/>
      <c r="H3658" s="19"/>
      <c r="I3658" s="19"/>
      <c r="J3658" s="19"/>
      <c r="K3658" s="19"/>
      <c r="L3658" s="19"/>
      <c r="M3658" s="19"/>
      <c r="N3658" s="19"/>
      <c r="O3658" s="19"/>
      <c r="P3658" s="19"/>
      <c r="Q3658" s="19"/>
      <c r="R3658" s="20"/>
      <c r="S3658" s="20"/>
    </row>
    <row r="3659" spans="1:19" x14ac:dyDescent="0.35">
      <c r="A3659" s="81"/>
      <c r="B3659" s="17"/>
      <c r="C3659" s="17"/>
      <c r="D3659" s="17"/>
      <c r="E3659" s="17"/>
      <c r="F3659" s="17"/>
      <c r="G3659" s="17"/>
      <c r="H3659" s="17"/>
      <c r="I3659" s="17"/>
      <c r="J3659" s="17"/>
      <c r="K3659" s="17"/>
      <c r="L3659" s="17"/>
      <c r="M3659" s="17"/>
      <c r="N3659" s="17"/>
      <c r="O3659" s="17"/>
      <c r="P3659" s="17"/>
      <c r="Q3659" s="17"/>
      <c r="R3659" s="18"/>
      <c r="S3659" s="18"/>
    </row>
    <row r="3660" spans="1:19" x14ac:dyDescent="0.35">
      <c r="A3660" s="82"/>
      <c r="B3660" s="19"/>
      <c r="C3660" s="19"/>
      <c r="D3660" s="19"/>
      <c r="E3660" s="19"/>
      <c r="F3660" s="19"/>
      <c r="G3660" s="19"/>
      <c r="H3660" s="19"/>
      <c r="I3660" s="19"/>
      <c r="J3660" s="19"/>
      <c r="K3660" s="19"/>
      <c r="L3660" s="19"/>
      <c r="M3660" s="19"/>
      <c r="N3660" s="19"/>
      <c r="O3660" s="19"/>
      <c r="P3660" s="19"/>
      <c r="Q3660" s="19"/>
      <c r="R3660" s="20"/>
      <c r="S3660" s="20"/>
    </row>
    <row r="3661" spans="1:19" x14ac:dyDescent="0.35">
      <c r="A3661" s="82"/>
      <c r="B3661" s="19"/>
      <c r="C3661" s="19"/>
      <c r="D3661" s="19"/>
      <c r="E3661" s="19"/>
      <c r="F3661" s="19"/>
      <c r="G3661" s="19"/>
      <c r="H3661" s="19"/>
      <c r="I3661" s="19"/>
      <c r="J3661" s="19"/>
      <c r="K3661" s="19"/>
      <c r="L3661" s="19"/>
      <c r="M3661" s="19"/>
      <c r="N3661" s="19"/>
      <c r="O3661" s="19"/>
      <c r="P3661" s="19"/>
      <c r="Q3661" s="19"/>
      <c r="R3661" s="20"/>
      <c r="S3661" s="20"/>
    </row>
    <row r="3662" spans="1:19" x14ac:dyDescent="0.35">
      <c r="A3662" s="81"/>
      <c r="B3662" s="17"/>
      <c r="C3662" s="17"/>
      <c r="D3662" s="17"/>
      <c r="E3662" s="17"/>
      <c r="F3662" s="17"/>
      <c r="G3662" s="17"/>
      <c r="H3662" s="17"/>
      <c r="I3662" s="17"/>
      <c r="J3662" s="17"/>
      <c r="K3662" s="17"/>
      <c r="L3662" s="17"/>
      <c r="M3662" s="17"/>
      <c r="N3662" s="17"/>
      <c r="O3662" s="17"/>
      <c r="P3662" s="17"/>
      <c r="Q3662" s="17"/>
      <c r="R3662" s="18"/>
      <c r="S3662" s="18"/>
    </row>
    <row r="3663" spans="1:19" x14ac:dyDescent="0.35">
      <c r="A3663" s="82"/>
      <c r="B3663" s="19"/>
      <c r="C3663" s="19"/>
      <c r="D3663" s="19"/>
      <c r="E3663" s="19"/>
      <c r="F3663" s="19"/>
      <c r="G3663" s="19"/>
      <c r="H3663" s="19"/>
      <c r="I3663" s="19"/>
      <c r="J3663" s="19"/>
      <c r="K3663" s="19"/>
      <c r="L3663" s="19"/>
      <c r="M3663" s="19"/>
      <c r="N3663" s="19"/>
      <c r="O3663" s="19"/>
      <c r="P3663" s="19"/>
      <c r="Q3663" s="19"/>
      <c r="R3663" s="20"/>
      <c r="S3663" s="18"/>
    </row>
    <row r="3664" spans="1:19" x14ac:dyDescent="0.35">
      <c r="A3664" s="82"/>
      <c r="B3664" s="19"/>
      <c r="C3664" s="19"/>
      <c r="D3664" s="19"/>
      <c r="E3664" s="19"/>
      <c r="F3664" s="19"/>
      <c r="G3664" s="19"/>
      <c r="H3664" s="19"/>
      <c r="I3664" s="19"/>
      <c r="J3664" s="19"/>
      <c r="K3664" s="19"/>
      <c r="L3664" s="19"/>
      <c r="M3664" s="19"/>
      <c r="N3664" s="19"/>
      <c r="O3664" s="19"/>
      <c r="P3664" s="19"/>
      <c r="Q3664" s="19"/>
      <c r="R3664" s="20"/>
      <c r="S3664" s="20"/>
    </row>
    <row r="3665" spans="1:19" x14ac:dyDescent="0.35">
      <c r="S3665" s="20"/>
    </row>
    <row r="3666" spans="1:19" x14ac:dyDescent="0.35">
      <c r="S3666" s="20"/>
    </row>
    <row r="3667" spans="1:19" x14ac:dyDescent="0.35">
      <c r="S3667" s="20"/>
    </row>
    <row r="3668" spans="1:19" x14ac:dyDescent="0.35">
      <c r="S3668" s="20"/>
    </row>
    <row r="3669" spans="1:19" x14ac:dyDescent="0.35">
      <c r="S3669" s="20"/>
    </row>
    <row r="3670" spans="1:19" x14ac:dyDescent="0.35">
      <c r="S3670" s="20"/>
    </row>
    <row r="3671" spans="1:19" x14ac:dyDescent="0.35">
      <c r="S3671" s="20"/>
    </row>
    <row r="3672" spans="1:19" x14ac:dyDescent="0.35">
      <c r="A3672" s="30"/>
      <c r="B3672" s="30"/>
      <c r="C3672" s="30"/>
      <c r="D3672" s="30"/>
      <c r="E3672" s="30"/>
      <c r="F3672" s="30"/>
      <c r="G3672" s="30"/>
      <c r="H3672" s="30"/>
      <c r="I3672" s="30"/>
      <c r="J3672" s="30"/>
      <c r="K3672" s="30"/>
      <c r="L3672" s="30"/>
      <c r="M3672" s="30"/>
      <c r="N3672" s="30"/>
      <c r="O3672" s="30"/>
      <c r="P3672" s="30"/>
      <c r="Q3672" s="30"/>
      <c r="R3672" s="30"/>
      <c r="S3672" s="18"/>
    </row>
    <row r="3673" spans="1:19" x14ac:dyDescent="0.35">
      <c r="S3673" s="20"/>
    </row>
    <row r="3674" spans="1:19" x14ac:dyDescent="0.35">
      <c r="A3674" s="30"/>
      <c r="B3674" s="30"/>
      <c r="C3674" s="30"/>
      <c r="D3674" s="30"/>
      <c r="E3674" s="30"/>
      <c r="F3674" s="30"/>
      <c r="G3674" s="30"/>
      <c r="H3674" s="30"/>
      <c r="I3674" s="30"/>
      <c r="J3674" s="30"/>
      <c r="K3674" s="30"/>
      <c r="L3674" s="30"/>
      <c r="M3674" s="30"/>
      <c r="N3674" s="30"/>
      <c r="O3674" s="30"/>
      <c r="P3674" s="30"/>
      <c r="Q3674" s="30"/>
      <c r="R3674" s="30"/>
      <c r="S3674" s="18"/>
    </row>
    <row r="3675" spans="1:19" x14ac:dyDescent="0.35">
      <c r="A3675" s="30"/>
      <c r="B3675" s="30"/>
      <c r="C3675" s="30"/>
      <c r="D3675" s="30"/>
      <c r="E3675" s="30"/>
      <c r="F3675" s="30"/>
      <c r="G3675" s="30"/>
      <c r="H3675" s="30"/>
      <c r="I3675" s="30"/>
      <c r="J3675" s="30"/>
      <c r="K3675" s="30"/>
      <c r="L3675" s="30"/>
      <c r="M3675" s="30"/>
      <c r="N3675" s="30"/>
      <c r="O3675" s="30"/>
      <c r="P3675" s="30"/>
      <c r="Q3675" s="30"/>
      <c r="R3675" s="30"/>
      <c r="S3675" s="20"/>
    </row>
    <row r="3676" spans="1:19" x14ac:dyDescent="0.35">
      <c r="A3676" s="30"/>
      <c r="B3676" s="30"/>
      <c r="C3676" s="30"/>
      <c r="D3676" s="30"/>
      <c r="E3676" s="30"/>
      <c r="F3676" s="30"/>
      <c r="G3676" s="30"/>
      <c r="H3676" s="30"/>
      <c r="I3676" s="30"/>
      <c r="J3676" s="30"/>
      <c r="K3676" s="30"/>
      <c r="L3676" s="30"/>
      <c r="M3676" s="30"/>
      <c r="N3676" s="30"/>
      <c r="O3676" s="30"/>
      <c r="P3676" s="30"/>
      <c r="Q3676" s="30"/>
      <c r="R3676" s="30"/>
      <c r="S3676" s="18"/>
    </row>
    <row r="3677" spans="1:19" x14ac:dyDescent="0.35">
      <c r="A3677" s="30"/>
      <c r="B3677" s="30"/>
      <c r="C3677" s="30"/>
      <c r="D3677" s="30"/>
      <c r="E3677" s="30"/>
      <c r="F3677" s="30"/>
      <c r="G3677" s="30"/>
      <c r="H3677" s="30"/>
      <c r="I3677" s="30"/>
      <c r="J3677" s="30"/>
      <c r="K3677" s="30"/>
      <c r="O3677" s="30"/>
      <c r="P3677" s="30"/>
      <c r="Q3677" s="30"/>
      <c r="R3677" s="30"/>
      <c r="S3677" s="20"/>
    </row>
    <row r="3678" spans="1:19" x14ac:dyDescent="0.35">
      <c r="A3678" s="30"/>
      <c r="B3678" s="30"/>
      <c r="C3678" s="30"/>
      <c r="D3678" s="30"/>
      <c r="E3678" s="30"/>
      <c r="F3678" s="30"/>
      <c r="G3678" s="30"/>
      <c r="H3678" s="30"/>
      <c r="I3678" s="30"/>
      <c r="J3678" s="30"/>
      <c r="K3678" s="30"/>
      <c r="L3678" s="30"/>
      <c r="M3678" s="30"/>
      <c r="N3678" s="30"/>
      <c r="O3678" s="30"/>
      <c r="P3678" s="30"/>
      <c r="Q3678" s="30"/>
      <c r="R3678" s="30"/>
      <c r="S3678" s="20"/>
    </row>
    <row r="3679" spans="1:19" x14ac:dyDescent="0.35">
      <c r="A3679" s="30"/>
      <c r="B3679" s="30"/>
      <c r="C3679" s="30"/>
      <c r="D3679" s="30"/>
      <c r="E3679" s="30"/>
      <c r="F3679" s="30"/>
      <c r="G3679" s="30"/>
      <c r="H3679" s="30"/>
      <c r="I3679" s="30"/>
      <c r="J3679" s="30"/>
      <c r="K3679" s="30"/>
      <c r="L3679" s="30"/>
      <c r="M3679" s="30"/>
      <c r="N3679" s="30"/>
      <c r="O3679" s="30"/>
      <c r="P3679" s="30"/>
      <c r="Q3679" s="30"/>
      <c r="R3679" s="30"/>
      <c r="S3679" s="18"/>
    </row>
    <row r="3680" spans="1:19" x14ac:dyDescent="0.35">
      <c r="A3680" s="30"/>
      <c r="B3680" s="30"/>
      <c r="C3680" s="30"/>
      <c r="D3680" s="30"/>
      <c r="E3680" s="30"/>
      <c r="F3680" s="30"/>
      <c r="G3680" s="30"/>
      <c r="H3680" s="30"/>
      <c r="I3680" s="30"/>
      <c r="J3680" s="30"/>
      <c r="K3680" s="30"/>
      <c r="L3680" s="30"/>
      <c r="M3680" s="30"/>
      <c r="N3680" s="30"/>
      <c r="O3680" s="30"/>
      <c r="P3680" s="30"/>
      <c r="Q3680" s="30"/>
      <c r="R3680" s="30"/>
      <c r="S3680" s="20"/>
    </row>
    <row r="3681" spans="1:19" x14ac:dyDescent="0.35">
      <c r="A3681" s="30"/>
      <c r="B3681" s="30"/>
      <c r="C3681" s="30"/>
      <c r="D3681" s="30"/>
      <c r="E3681" s="30"/>
      <c r="F3681" s="30"/>
      <c r="G3681" s="30"/>
      <c r="H3681" s="30"/>
      <c r="I3681" s="30"/>
      <c r="J3681" s="30"/>
      <c r="K3681" s="30"/>
      <c r="L3681" s="30"/>
      <c r="M3681" s="30"/>
      <c r="N3681" s="30"/>
      <c r="O3681" s="30"/>
      <c r="P3681" s="30"/>
      <c r="Q3681" s="30"/>
      <c r="R3681" s="30"/>
      <c r="S3681" s="18"/>
    </row>
    <row r="3682" spans="1:19" x14ac:dyDescent="0.35">
      <c r="S3682" s="18"/>
    </row>
    <row r="3683" spans="1:19" x14ac:dyDescent="0.35">
      <c r="S3683" s="18"/>
    </row>
    <row r="3684" spans="1:19" x14ac:dyDescent="0.35">
      <c r="S3684" s="20"/>
    </row>
    <row r="3686" spans="1:19" x14ac:dyDescent="0.35">
      <c r="A3686" s="30"/>
      <c r="B3686" s="30"/>
      <c r="C3686" s="30"/>
      <c r="D3686" s="30"/>
      <c r="E3686" s="30"/>
      <c r="F3686" s="30"/>
      <c r="G3686" s="30"/>
      <c r="H3686" s="30"/>
      <c r="I3686" s="30"/>
      <c r="J3686" s="30"/>
      <c r="K3686" s="30"/>
      <c r="L3686" s="30"/>
      <c r="M3686" s="30"/>
      <c r="N3686" s="30"/>
      <c r="O3686" s="30"/>
      <c r="P3686" s="30"/>
      <c r="Q3686" s="30"/>
      <c r="R3686" s="30"/>
      <c r="S3686" s="30"/>
    </row>
    <row r="3690" spans="1:19" x14ac:dyDescent="0.35">
      <c r="S3690" s="30"/>
    </row>
    <row r="3700" spans="1:19" x14ac:dyDescent="0.35">
      <c r="A3700" s="30"/>
      <c r="B3700" s="30"/>
      <c r="C3700" s="30"/>
      <c r="D3700" s="30"/>
      <c r="E3700" s="30"/>
      <c r="F3700" s="30"/>
      <c r="G3700" s="30"/>
      <c r="H3700" s="30"/>
      <c r="I3700" s="30"/>
      <c r="J3700" s="30"/>
      <c r="K3700" s="30"/>
      <c r="L3700" s="30"/>
      <c r="M3700" s="30"/>
      <c r="N3700" s="30"/>
      <c r="O3700" s="30"/>
      <c r="P3700" s="30"/>
      <c r="Q3700" s="30"/>
      <c r="R3700" s="30"/>
      <c r="S3700" s="30"/>
    </row>
    <row r="3701" spans="1:19" x14ac:dyDescent="0.35">
      <c r="A3701" s="30"/>
      <c r="B3701" s="30"/>
      <c r="C3701" s="30"/>
      <c r="D3701" s="30"/>
      <c r="E3701" s="30"/>
      <c r="F3701" s="30"/>
      <c r="G3701" s="30"/>
      <c r="H3701" s="30"/>
      <c r="I3701" s="30"/>
      <c r="J3701" s="30"/>
      <c r="K3701" s="30"/>
      <c r="L3701" s="30"/>
      <c r="M3701" s="30"/>
      <c r="N3701" s="30"/>
      <c r="O3701" s="30"/>
      <c r="P3701" s="30"/>
      <c r="Q3701" s="30"/>
      <c r="R3701" s="30"/>
    </row>
    <row r="3703" spans="1:19" x14ac:dyDescent="0.35">
      <c r="A3703" s="30"/>
      <c r="B3703" s="30"/>
      <c r="C3703" s="30"/>
      <c r="D3703" s="30"/>
      <c r="E3703" s="30"/>
      <c r="F3703" s="30"/>
      <c r="G3703" s="30"/>
      <c r="H3703" s="30"/>
      <c r="I3703" s="30"/>
      <c r="J3703" s="30"/>
      <c r="K3703" s="30"/>
      <c r="O3703" s="30"/>
      <c r="P3703" s="30"/>
      <c r="Q3703" s="30"/>
      <c r="R3703" s="30"/>
    </row>
    <row r="3704" spans="1:19" x14ac:dyDescent="0.35">
      <c r="A3704" s="30"/>
      <c r="B3704" s="30"/>
      <c r="C3704" s="30"/>
      <c r="D3704" s="30"/>
      <c r="E3704" s="30"/>
      <c r="F3704" s="30"/>
      <c r="G3704" s="30"/>
      <c r="H3704" s="30"/>
      <c r="I3704" s="30"/>
      <c r="J3704" s="30"/>
      <c r="K3704" s="30"/>
      <c r="L3704" s="30"/>
      <c r="M3704" s="30"/>
      <c r="N3704" s="30"/>
      <c r="O3704" s="30"/>
      <c r="P3704" s="30"/>
      <c r="Q3704" s="30"/>
      <c r="R3704" s="30"/>
      <c r="S3704" s="30"/>
    </row>
    <row r="3706" spans="1:19" x14ac:dyDescent="0.35">
      <c r="A3706" s="30"/>
      <c r="B3706" s="30"/>
      <c r="C3706" s="30"/>
      <c r="D3706" s="30"/>
      <c r="E3706" s="30"/>
      <c r="F3706" s="30"/>
      <c r="G3706" s="30"/>
      <c r="H3706" s="30"/>
      <c r="I3706" s="30"/>
      <c r="J3706" s="30"/>
      <c r="K3706" s="30"/>
      <c r="L3706" s="30"/>
      <c r="M3706" s="30"/>
      <c r="N3706" s="30"/>
      <c r="O3706" s="30"/>
      <c r="P3706" s="30"/>
      <c r="Q3706" s="30"/>
      <c r="R3706" s="30"/>
    </row>
    <row r="3707" spans="1:19" x14ac:dyDescent="0.35">
      <c r="A3707" s="30"/>
      <c r="B3707" s="30"/>
      <c r="C3707" s="30"/>
      <c r="D3707" s="30"/>
      <c r="E3707" s="30"/>
      <c r="F3707" s="30"/>
      <c r="G3707" s="30"/>
      <c r="H3707" s="30"/>
      <c r="I3707" s="30"/>
      <c r="J3707" s="30"/>
      <c r="K3707" s="30"/>
      <c r="L3707" s="30"/>
      <c r="M3707" s="30"/>
      <c r="N3707" s="30"/>
      <c r="O3707" s="30"/>
      <c r="P3707" s="30"/>
      <c r="Q3707" s="30"/>
      <c r="R3707" s="30"/>
      <c r="S3707" s="30"/>
    </row>
    <row r="3708" spans="1:19" x14ac:dyDescent="0.35">
      <c r="S3708" s="30"/>
    </row>
    <row r="3709" spans="1:19" x14ac:dyDescent="0.35">
      <c r="S3709" s="30"/>
    </row>
    <row r="3711" spans="1:19" x14ac:dyDescent="0.35">
      <c r="S3711" s="30"/>
    </row>
    <row r="3712" spans="1:19" x14ac:dyDescent="0.35">
      <c r="A3712" s="30"/>
      <c r="B3712" s="30"/>
      <c r="C3712" s="30"/>
      <c r="D3712" s="30"/>
      <c r="E3712" s="30"/>
      <c r="F3712" s="30"/>
      <c r="G3712" s="30"/>
      <c r="H3712" s="30"/>
      <c r="I3712" s="30"/>
      <c r="J3712" s="30"/>
      <c r="K3712" s="30"/>
      <c r="L3712" s="30"/>
      <c r="M3712" s="30"/>
      <c r="N3712" s="30"/>
      <c r="O3712" s="30"/>
      <c r="P3712" s="30"/>
      <c r="Q3712" s="30"/>
      <c r="R3712" s="30"/>
      <c r="S3712" s="30"/>
    </row>
    <row r="3713" spans="1:19" x14ac:dyDescent="0.35">
      <c r="A3713" s="30"/>
      <c r="B3713" s="30"/>
      <c r="C3713" s="30"/>
      <c r="D3713" s="30"/>
      <c r="E3713" s="30"/>
      <c r="F3713" s="30"/>
      <c r="G3713" s="30"/>
      <c r="H3713" s="30"/>
      <c r="I3713" s="30"/>
      <c r="J3713" s="30"/>
      <c r="K3713" s="30"/>
      <c r="L3713" s="30"/>
      <c r="M3713" s="30"/>
      <c r="N3713" s="30"/>
      <c r="O3713" s="30"/>
      <c r="P3713" s="30"/>
      <c r="Q3713" s="30"/>
      <c r="R3713" s="30"/>
      <c r="S3713" s="30"/>
    </row>
    <row r="3714" spans="1:19" x14ac:dyDescent="0.35">
      <c r="A3714" s="30"/>
      <c r="B3714" s="30"/>
      <c r="C3714" s="30"/>
      <c r="D3714" s="30"/>
      <c r="E3714" s="30"/>
      <c r="F3714" s="30"/>
      <c r="G3714" s="30"/>
      <c r="H3714" s="30"/>
      <c r="I3714" s="30"/>
      <c r="J3714" s="30"/>
      <c r="K3714" s="30"/>
      <c r="L3714" s="30"/>
      <c r="M3714" s="30"/>
      <c r="N3714" s="30"/>
      <c r="O3714" s="30"/>
      <c r="P3714" s="30"/>
      <c r="Q3714" s="30"/>
      <c r="R3714" s="30"/>
      <c r="S3714" s="30"/>
    </row>
    <row r="3715" spans="1:19" x14ac:dyDescent="0.35">
      <c r="A3715" s="30"/>
      <c r="B3715" s="30"/>
      <c r="C3715" s="30"/>
      <c r="D3715" s="30"/>
      <c r="E3715" s="30"/>
      <c r="F3715" s="30"/>
      <c r="G3715" s="30"/>
      <c r="H3715" s="30"/>
      <c r="I3715" s="30"/>
      <c r="J3715" s="30"/>
      <c r="K3715" s="30"/>
      <c r="O3715" s="30"/>
      <c r="P3715" s="30"/>
      <c r="Q3715" s="30"/>
      <c r="R3715" s="30"/>
    </row>
    <row r="3719" spans="1:19" x14ac:dyDescent="0.35">
      <c r="A3719" s="30"/>
      <c r="B3719" s="30"/>
      <c r="C3719" s="30"/>
      <c r="D3719" s="30"/>
      <c r="E3719" s="30"/>
      <c r="F3719" s="30"/>
      <c r="G3719" s="30"/>
      <c r="H3719" s="30"/>
      <c r="I3719" s="30"/>
      <c r="J3719" s="30"/>
      <c r="K3719" s="30"/>
      <c r="L3719" s="30"/>
      <c r="M3719" s="30"/>
      <c r="N3719" s="30"/>
      <c r="O3719" s="30"/>
      <c r="P3719" s="30"/>
      <c r="Q3719" s="30"/>
      <c r="R3719" s="30"/>
      <c r="S3719" s="30"/>
    </row>
    <row r="3725" spans="1:19" x14ac:dyDescent="0.35">
      <c r="A3725" s="30"/>
      <c r="B3725" s="30"/>
      <c r="C3725" s="30"/>
      <c r="D3725" s="30"/>
      <c r="E3725" s="30"/>
      <c r="F3725" s="30"/>
      <c r="G3725" s="30"/>
      <c r="H3725" s="30"/>
      <c r="I3725" s="30"/>
      <c r="J3725" s="30"/>
      <c r="K3725" s="30"/>
      <c r="L3725" s="30"/>
      <c r="M3725" s="30"/>
      <c r="N3725" s="30"/>
      <c r="O3725" s="30"/>
      <c r="P3725" s="30"/>
      <c r="Q3725" s="30"/>
      <c r="R3725" s="30"/>
      <c r="S3725" s="30"/>
    </row>
    <row r="3728" spans="1:19" x14ac:dyDescent="0.35">
      <c r="A3728" s="30"/>
      <c r="B3728" s="30"/>
      <c r="C3728" s="30"/>
      <c r="D3728" s="30"/>
      <c r="E3728" s="30"/>
      <c r="F3728" s="30"/>
      <c r="G3728" s="30"/>
      <c r="H3728" s="30"/>
      <c r="I3728" s="30"/>
      <c r="J3728" s="30"/>
      <c r="K3728" s="30"/>
      <c r="L3728" s="30"/>
      <c r="M3728" s="30"/>
      <c r="N3728" s="30"/>
      <c r="O3728" s="30"/>
      <c r="P3728" s="30"/>
      <c r="Q3728" s="30"/>
      <c r="R3728" s="30"/>
    </row>
    <row r="3730" spans="1:19" x14ac:dyDescent="0.35">
      <c r="A3730" s="30"/>
      <c r="B3730" s="30"/>
      <c r="C3730" s="30"/>
      <c r="D3730" s="30"/>
      <c r="E3730" s="30"/>
      <c r="F3730" s="30"/>
      <c r="G3730" s="30"/>
      <c r="H3730" s="30"/>
      <c r="I3730" s="30"/>
      <c r="J3730" s="30"/>
      <c r="K3730" s="30"/>
      <c r="L3730" s="30"/>
      <c r="M3730" s="30"/>
      <c r="N3730" s="30"/>
      <c r="O3730" s="30"/>
      <c r="P3730" s="30"/>
      <c r="Q3730" s="30"/>
      <c r="R3730" s="30"/>
      <c r="S3730" s="30"/>
    </row>
    <row r="3732" spans="1:19" x14ac:dyDescent="0.35">
      <c r="A3732" s="30"/>
      <c r="B3732" s="30"/>
      <c r="C3732" s="30"/>
      <c r="D3732" s="30"/>
      <c r="E3732" s="30"/>
      <c r="F3732" s="30"/>
      <c r="G3732" s="30"/>
      <c r="H3732" s="30"/>
      <c r="I3732" s="30"/>
      <c r="J3732" s="30"/>
      <c r="K3732" s="30"/>
      <c r="L3732" s="30"/>
      <c r="M3732" s="30"/>
      <c r="N3732" s="30"/>
      <c r="O3732" s="30"/>
      <c r="P3732" s="30"/>
      <c r="Q3732" s="30"/>
      <c r="R3732" s="30"/>
    </row>
    <row r="3735" spans="1:19" x14ac:dyDescent="0.35">
      <c r="A3735" s="30"/>
      <c r="B3735" s="30"/>
      <c r="C3735" s="30"/>
      <c r="D3735" s="30"/>
      <c r="E3735" s="30"/>
      <c r="F3735" s="30"/>
      <c r="G3735" s="30"/>
      <c r="H3735" s="30"/>
      <c r="I3735" s="30"/>
      <c r="J3735" s="30"/>
      <c r="K3735" s="30"/>
      <c r="L3735" s="30"/>
      <c r="M3735" s="30"/>
      <c r="N3735" s="30"/>
      <c r="O3735" s="30"/>
      <c r="P3735" s="30"/>
      <c r="Q3735" s="30"/>
      <c r="R3735" s="30"/>
      <c r="S3735" s="30"/>
    </row>
    <row r="3736" spans="1:19" x14ac:dyDescent="0.35">
      <c r="S3736" s="30"/>
    </row>
    <row r="3737" spans="1:19" x14ac:dyDescent="0.35">
      <c r="S3737" s="30"/>
    </row>
    <row r="3742" spans="1:19" x14ac:dyDescent="0.35">
      <c r="S3742" s="30"/>
    </row>
    <row r="3743" spans="1:19" x14ac:dyDescent="0.35">
      <c r="S3743" s="30"/>
    </row>
    <row r="3746" spans="1:19" x14ac:dyDescent="0.35">
      <c r="S3746" s="30"/>
    </row>
    <row r="3747" spans="1:19" x14ac:dyDescent="0.35">
      <c r="A3747" s="30"/>
      <c r="B3747" s="30"/>
      <c r="C3747" s="30"/>
      <c r="D3747" s="30"/>
      <c r="E3747" s="30"/>
      <c r="F3747" s="30"/>
      <c r="G3747" s="30"/>
      <c r="H3747" s="30"/>
      <c r="I3747" s="30"/>
      <c r="J3747" s="30"/>
      <c r="K3747" s="30"/>
      <c r="L3747" s="30"/>
      <c r="M3747" s="30"/>
      <c r="N3747" s="30"/>
      <c r="O3747" s="30"/>
      <c r="P3747" s="30"/>
      <c r="Q3747" s="30"/>
      <c r="R3747" s="30"/>
    </row>
    <row r="3748" spans="1:19" x14ac:dyDescent="0.35">
      <c r="A3748" s="30"/>
      <c r="B3748" s="30"/>
      <c r="C3748" s="30"/>
      <c r="D3748" s="30"/>
      <c r="E3748" s="30"/>
      <c r="F3748" s="30"/>
      <c r="G3748" s="30"/>
      <c r="H3748" s="30"/>
      <c r="I3748" s="30"/>
      <c r="J3748" s="30"/>
      <c r="K3748" s="30"/>
      <c r="O3748" s="30"/>
      <c r="P3748" s="30"/>
      <c r="Q3748" s="30"/>
      <c r="R3748" s="30"/>
    </row>
    <row r="3753" spans="1:19" x14ac:dyDescent="0.35">
      <c r="S3753" s="30"/>
    </row>
    <row r="3754" spans="1:19" x14ac:dyDescent="0.35">
      <c r="S3754" s="30"/>
    </row>
    <row r="3757" spans="1:19" x14ac:dyDescent="0.35">
      <c r="A3757" s="30"/>
      <c r="B3757" s="30"/>
      <c r="C3757" s="30"/>
      <c r="D3757" s="30"/>
      <c r="E3757" s="30"/>
      <c r="F3757" s="30"/>
      <c r="G3757" s="30"/>
      <c r="H3757" s="30"/>
      <c r="I3757" s="30"/>
      <c r="J3757" s="30"/>
      <c r="K3757" s="30"/>
      <c r="L3757" s="30"/>
      <c r="M3757" s="30"/>
      <c r="N3757" s="30"/>
      <c r="O3757" s="30"/>
      <c r="P3757" s="30"/>
      <c r="Q3757" s="30"/>
      <c r="R3757" s="30"/>
      <c r="S3757" s="30"/>
    </row>
    <row r="3760" spans="1:19" x14ac:dyDescent="0.35">
      <c r="A3760" s="30"/>
      <c r="B3760" s="30"/>
      <c r="C3760" s="30"/>
      <c r="D3760" s="30"/>
      <c r="E3760" s="30"/>
      <c r="F3760" s="30"/>
      <c r="G3760" s="30"/>
      <c r="H3760" s="30"/>
      <c r="I3760" s="30"/>
      <c r="J3760" s="30"/>
      <c r="K3760" s="30"/>
      <c r="L3760" s="30"/>
      <c r="M3760" s="30"/>
      <c r="N3760" s="30"/>
      <c r="O3760" s="30"/>
      <c r="P3760" s="30"/>
      <c r="Q3760" s="30"/>
      <c r="R3760" s="30"/>
    </row>
    <row r="3762" spans="1:19" x14ac:dyDescent="0.35">
      <c r="A3762" s="30"/>
      <c r="B3762" s="30"/>
      <c r="C3762" s="30"/>
      <c r="D3762" s="30"/>
      <c r="E3762" s="30"/>
      <c r="F3762" s="30"/>
      <c r="G3762" s="30"/>
      <c r="H3762" s="30"/>
      <c r="I3762" s="30"/>
      <c r="J3762" s="30"/>
      <c r="K3762" s="30"/>
      <c r="L3762" s="30"/>
      <c r="M3762" s="30"/>
      <c r="N3762" s="30"/>
      <c r="O3762" s="30"/>
      <c r="P3762" s="30"/>
      <c r="Q3762" s="30"/>
      <c r="R3762" s="30"/>
    </row>
    <row r="3763" spans="1:19" x14ac:dyDescent="0.35">
      <c r="A3763" s="30"/>
      <c r="B3763" s="30"/>
      <c r="C3763" s="30"/>
      <c r="D3763" s="30"/>
      <c r="E3763" s="30"/>
      <c r="F3763" s="30"/>
      <c r="G3763" s="30"/>
      <c r="H3763" s="30"/>
      <c r="I3763" s="30"/>
      <c r="J3763" s="30"/>
      <c r="K3763" s="30"/>
      <c r="L3763" s="30"/>
      <c r="M3763" s="30"/>
      <c r="N3763" s="30"/>
      <c r="O3763" s="30"/>
      <c r="P3763" s="30"/>
      <c r="Q3763" s="30"/>
      <c r="R3763" s="30"/>
    </row>
    <row r="3764" spans="1:19" x14ac:dyDescent="0.35">
      <c r="A3764" s="30"/>
      <c r="B3764" s="30"/>
      <c r="C3764" s="30"/>
      <c r="D3764" s="30"/>
      <c r="E3764" s="30"/>
      <c r="F3764" s="30"/>
      <c r="G3764" s="30"/>
      <c r="H3764" s="30"/>
      <c r="I3764" s="30"/>
      <c r="J3764" s="30"/>
      <c r="K3764" s="30"/>
      <c r="L3764" s="30"/>
      <c r="M3764" s="30"/>
      <c r="N3764" s="30"/>
      <c r="O3764" s="30"/>
      <c r="P3764" s="30"/>
      <c r="Q3764" s="30"/>
      <c r="R3764" s="30"/>
    </row>
    <row r="3767" spans="1:19" x14ac:dyDescent="0.35">
      <c r="A3767" s="30"/>
      <c r="B3767" s="30"/>
      <c r="C3767" s="30"/>
      <c r="D3767" s="30"/>
      <c r="E3767" s="30"/>
      <c r="F3767" s="30"/>
      <c r="G3767" s="30"/>
      <c r="H3767" s="30"/>
      <c r="I3767" s="30"/>
      <c r="J3767" s="30"/>
      <c r="K3767" s="30"/>
      <c r="O3767" s="30"/>
      <c r="P3767" s="30"/>
      <c r="Q3767" s="30"/>
      <c r="R3767" s="30"/>
    </row>
    <row r="3769" spans="1:19" x14ac:dyDescent="0.35">
      <c r="A3769" s="30"/>
      <c r="B3769" s="30"/>
      <c r="C3769" s="30"/>
      <c r="D3769" s="30"/>
      <c r="E3769" s="30"/>
      <c r="F3769" s="30"/>
      <c r="G3769" s="30"/>
      <c r="H3769" s="30"/>
      <c r="I3769" s="30"/>
      <c r="J3769" s="30"/>
      <c r="K3769" s="30"/>
      <c r="L3769" s="30"/>
      <c r="M3769" s="30"/>
      <c r="N3769" s="30"/>
      <c r="O3769" s="30"/>
      <c r="P3769" s="30"/>
      <c r="Q3769" s="30"/>
      <c r="R3769" s="30"/>
    </row>
    <row r="3770" spans="1:19" x14ac:dyDescent="0.35">
      <c r="A3770" s="30"/>
      <c r="B3770" s="30"/>
      <c r="C3770" s="30"/>
      <c r="D3770" s="30"/>
      <c r="E3770" s="30"/>
      <c r="F3770" s="30"/>
      <c r="G3770" s="30"/>
      <c r="H3770" s="30"/>
      <c r="I3770" s="30"/>
      <c r="J3770" s="30"/>
      <c r="K3770" s="30"/>
      <c r="L3770" s="30"/>
      <c r="M3770" s="30"/>
      <c r="N3770" s="30"/>
      <c r="O3770" s="30"/>
      <c r="P3770" s="30"/>
      <c r="Q3770" s="30"/>
      <c r="R3770" s="30"/>
    </row>
    <row r="3771" spans="1:19" x14ac:dyDescent="0.35">
      <c r="A3771" s="30"/>
      <c r="B3771" s="30"/>
      <c r="C3771" s="30"/>
      <c r="D3771" s="30"/>
      <c r="E3771" s="30"/>
      <c r="F3771" s="30"/>
      <c r="G3771" s="30"/>
      <c r="H3771" s="30"/>
      <c r="I3771" s="30"/>
      <c r="J3771" s="30"/>
      <c r="K3771" s="30"/>
      <c r="L3771" s="30"/>
      <c r="M3771" s="30"/>
      <c r="N3771" s="30"/>
      <c r="O3771" s="30"/>
      <c r="P3771" s="30"/>
      <c r="Q3771" s="30"/>
      <c r="R3771" s="30"/>
      <c r="S3771" s="30"/>
    </row>
    <row r="3776" spans="1:19" x14ac:dyDescent="0.35">
      <c r="A3776" s="30"/>
      <c r="B3776" s="30"/>
      <c r="C3776" s="30"/>
      <c r="D3776" s="30"/>
      <c r="E3776" s="30"/>
      <c r="F3776" s="30"/>
      <c r="G3776" s="30"/>
      <c r="H3776" s="30"/>
      <c r="I3776" s="30"/>
      <c r="J3776" s="30"/>
      <c r="K3776" s="30"/>
      <c r="L3776" s="30"/>
      <c r="M3776" s="30"/>
      <c r="N3776" s="30"/>
      <c r="O3776" s="30"/>
      <c r="P3776" s="30"/>
      <c r="Q3776" s="30"/>
      <c r="R3776" s="30"/>
      <c r="S3776" s="30"/>
    </row>
    <row r="3777" spans="1:19" x14ac:dyDescent="0.35">
      <c r="A3777" s="30"/>
      <c r="B3777" s="30"/>
      <c r="C3777" s="30"/>
      <c r="D3777" s="30"/>
      <c r="E3777" s="30"/>
      <c r="F3777" s="30"/>
      <c r="G3777" s="30"/>
      <c r="H3777" s="30"/>
      <c r="I3777" s="30"/>
      <c r="J3777" s="30"/>
      <c r="K3777" s="30"/>
      <c r="L3777" s="30"/>
      <c r="M3777" s="30"/>
      <c r="N3777" s="30"/>
      <c r="O3777" s="30"/>
      <c r="P3777" s="30"/>
      <c r="Q3777" s="30"/>
      <c r="R3777" s="30"/>
      <c r="S3777" s="30"/>
    </row>
    <row r="3778" spans="1:19" x14ac:dyDescent="0.35">
      <c r="A3778" s="30"/>
      <c r="B3778" s="30"/>
      <c r="C3778" s="30"/>
      <c r="D3778" s="30"/>
      <c r="E3778" s="30"/>
      <c r="F3778" s="30"/>
      <c r="G3778" s="30"/>
      <c r="H3778" s="30"/>
      <c r="I3778" s="30"/>
      <c r="J3778" s="30"/>
      <c r="K3778" s="30"/>
      <c r="L3778" s="30"/>
      <c r="M3778" s="30"/>
      <c r="N3778" s="30"/>
      <c r="O3778" s="30"/>
      <c r="P3778" s="30"/>
      <c r="Q3778" s="30"/>
      <c r="R3778" s="30"/>
    </row>
    <row r="3780" spans="1:19" x14ac:dyDescent="0.35">
      <c r="A3780" s="30"/>
      <c r="B3780" s="30"/>
      <c r="C3780" s="30"/>
      <c r="D3780" s="30"/>
      <c r="E3780" s="30"/>
      <c r="F3780" s="30"/>
      <c r="G3780" s="30"/>
      <c r="H3780" s="30"/>
      <c r="I3780" s="30"/>
      <c r="J3780" s="30"/>
      <c r="K3780" s="30"/>
      <c r="L3780" s="30"/>
      <c r="M3780" s="30"/>
      <c r="N3780" s="30"/>
      <c r="O3780" s="30"/>
      <c r="P3780" s="30"/>
      <c r="Q3780" s="30"/>
      <c r="R3780" s="30"/>
    </row>
    <row r="3782" spans="1:19" x14ac:dyDescent="0.35">
      <c r="A3782" s="30"/>
      <c r="B3782" s="30"/>
      <c r="C3782" s="30"/>
      <c r="D3782" s="30"/>
      <c r="E3782" s="30"/>
      <c r="F3782" s="30"/>
      <c r="G3782" s="30"/>
      <c r="H3782" s="30"/>
      <c r="I3782" s="30"/>
      <c r="J3782" s="30"/>
      <c r="K3782" s="30"/>
      <c r="L3782" s="30"/>
      <c r="M3782" s="30"/>
      <c r="N3782" s="30"/>
      <c r="O3782" s="30"/>
      <c r="P3782" s="30"/>
      <c r="Q3782" s="30"/>
      <c r="R3782" s="30"/>
    </row>
    <row r="3784" spans="1:19" x14ac:dyDescent="0.35">
      <c r="A3784" s="30"/>
      <c r="B3784" s="30"/>
      <c r="C3784" s="30"/>
      <c r="D3784" s="30"/>
      <c r="E3784" s="30"/>
      <c r="F3784" s="30"/>
      <c r="G3784" s="30"/>
      <c r="H3784" s="30"/>
      <c r="I3784" s="30"/>
      <c r="J3784" s="30"/>
      <c r="K3784" s="30"/>
      <c r="O3784" s="30"/>
      <c r="P3784" s="30"/>
      <c r="Q3784" s="30"/>
      <c r="R3784" s="30"/>
      <c r="S3784" s="30"/>
    </row>
    <row r="3786" spans="1:19" x14ac:dyDescent="0.35">
      <c r="A3786" s="30"/>
      <c r="B3786" s="30"/>
      <c r="C3786" s="30"/>
      <c r="D3786" s="30"/>
      <c r="E3786" s="30"/>
      <c r="F3786" s="30"/>
      <c r="G3786" s="30"/>
      <c r="H3786" s="30"/>
      <c r="I3786" s="30"/>
      <c r="J3786" s="30"/>
      <c r="K3786" s="30"/>
      <c r="L3786" s="30"/>
      <c r="M3786" s="30"/>
      <c r="N3786" s="30"/>
      <c r="O3786" s="30"/>
      <c r="P3786" s="30"/>
      <c r="Q3786" s="30"/>
      <c r="R3786" s="30"/>
      <c r="S3786" s="30"/>
    </row>
    <row r="3789" spans="1:19" x14ac:dyDescent="0.35">
      <c r="S3789" s="30"/>
    </row>
    <row r="3790" spans="1:19" x14ac:dyDescent="0.35">
      <c r="S3790" s="30"/>
    </row>
    <row r="3796" spans="1:19" x14ac:dyDescent="0.35">
      <c r="A3796" s="30"/>
      <c r="B3796" s="30"/>
      <c r="C3796" s="30"/>
      <c r="D3796" s="30"/>
      <c r="E3796" s="30"/>
      <c r="F3796" s="30"/>
      <c r="G3796" s="30"/>
      <c r="H3796" s="30"/>
      <c r="I3796" s="30"/>
      <c r="J3796" s="30"/>
      <c r="K3796" s="30"/>
      <c r="L3796" s="30"/>
      <c r="M3796" s="30"/>
      <c r="N3796" s="30"/>
      <c r="O3796" s="30"/>
      <c r="P3796" s="30"/>
      <c r="Q3796" s="30"/>
      <c r="R3796" s="30"/>
    </row>
    <row r="3797" spans="1:19" x14ac:dyDescent="0.35">
      <c r="A3797" s="30"/>
      <c r="B3797" s="30"/>
      <c r="C3797" s="30"/>
      <c r="D3797" s="30"/>
      <c r="E3797" s="30"/>
      <c r="F3797" s="30"/>
      <c r="G3797" s="30"/>
      <c r="H3797" s="30"/>
      <c r="I3797" s="30"/>
      <c r="J3797" s="30"/>
      <c r="K3797" s="30"/>
      <c r="L3797" s="30"/>
      <c r="M3797" s="30"/>
      <c r="N3797" s="30"/>
      <c r="O3797" s="30"/>
      <c r="P3797" s="30"/>
      <c r="Q3797" s="30"/>
      <c r="R3797" s="30"/>
      <c r="S3797" s="30"/>
    </row>
    <row r="3798" spans="1:19" x14ac:dyDescent="0.35">
      <c r="A3798" s="30"/>
      <c r="B3798" s="30"/>
      <c r="C3798" s="30"/>
      <c r="D3798" s="30"/>
      <c r="E3798" s="30"/>
      <c r="F3798" s="30"/>
      <c r="G3798" s="30"/>
      <c r="H3798" s="30"/>
      <c r="I3798" s="30"/>
      <c r="J3798" s="30"/>
      <c r="K3798" s="30"/>
      <c r="L3798" s="30"/>
      <c r="M3798" s="30"/>
      <c r="N3798" s="30"/>
      <c r="O3798" s="30"/>
      <c r="P3798" s="30"/>
      <c r="Q3798" s="30"/>
      <c r="R3798" s="30"/>
      <c r="S3798" s="30"/>
    </row>
    <row r="3799" spans="1:19" x14ac:dyDescent="0.35">
      <c r="A3799" s="30"/>
      <c r="B3799" s="30"/>
      <c r="C3799" s="30"/>
      <c r="D3799" s="30"/>
      <c r="E3799" s="30"/>
      <c r="F3799" s="30"/>
      <c r="G3799" s="30"/>
      <c r="H3799" s="30"/>
      <c r="I3799" s="30"/>
      <c r="J3799" s="30"/>
      <c r="K3799" s="30"/>
      <c r="L3799" s="30"/>
      <c r="M3799" s="30"/>
      <c r="N3799" s="30"/>
      <c r="O3799" s="30"/>
      <c r="P3799" s="30"/>
      <c r="Q3799" s="30"/>
      <c r="R3799" s="30"/>
    </row>
    <row r="3801" spans="1:19" x14ac:dyDescent="0.35">
      <c r="A3801" s="30"/>
      <c r="B3801" s="30"/>
      <c r="C3801" s="30"/>
      <c r="D3801" s="30"/>
      <c r="E3801" s="30"/>
      <c r="F3801" s="30"/>
      <c r="G3801" s="30"/>
      <c r="H3801" s="30"/>
      <c r="I3801" s="30"/>
      <c r="J3801" s="30"/>
      <c r="K3801" s="30"/>
      <c r="O3801" s="30"/>
      <c r="P3801" s="30"/>
      <c r="Q3801" s="30"/>
      <c r="R3801" s="30"/>
    </row>
    <row r="3804" spans="1:19" x14ac:dyDescent="0.35">
      <c r="A3804" s="30"/>
      <c r="B3804" s="30"/>
      <c r="C3804" s="30"/>
      <c r="D3804" s="30"/>
      <c r="E3804" s="30"/>
      <c r="F3804" s="30"/>
      <c r="G3804" s="30"/>
      <c r="H3804" s="30"/>
      <c r="I3804" s="30"/>
      <c r="J3804" s="30"/>
      <c r="K3804" s="30"/>
      <c r="L3804" s="30"/>
      <c r="M3804" s="30"/>
      <c r="N3804" s="30"/>
      <c r="O3804" s="30"/>
      <c r="P3804" s="30"/>
      <c r="Q3804" s="30"/>
      <c r="R3804" s="30"/>
      <c r="S3804" s="30"/>
    </row>
    <row r="3805" spans="1:19" x14ac:dyDescent="0.35">
      <c r="A3805" s="30"/>
      <c r="B3805" s="30"/>
      <c r="C3805" s="30"/>
      <c r="D3805" s="30"/>
      <c r="E3805" s="30"/>
      <c r="F3805" s="30"/>
      <c r="G3805" s="30"/>
      <c r="H3805" s="30"/>
      <c r="I3805" s="30"/>
      <c r="J3805" s="30"/>
      <c r="K3805" s="30"/>
      <c r="L3805" s="30"/>
      <c r="M3805" s="30"/>
      <c r="N3805" s="30"/>
      <c r="O3805" s="30"/>
      <c r="P3805" s="30"/>
      <c r="Q3805" s="30"/>
      <c r="R3805" s="30"/>
      <c r="S3805" s="30"/>
    </row>
    <row r="3810" spans="1:19" x14ac:dyDescent="0.35">
      <c r="A3810" s="30"/>
      <c r="B3810" s="30"/>
      <c r="C3810" s="30"/>
      <c r="D3810" s="30"/>
      <c r="E3810" s="30"/>
      <c r="F3810" s="30"/>
      <c r="G3810" s="30"/>
      <c r="H3810" s="30"/>
      <c r="I3810" s="30"/>
      <c r="J3810" s="30"/>
      <c r="K3810" s="30"/>
      <c r="L3810" s="30"/>
      <c r="M3810" s="30"/>
      <c r="N3810" s="30"/>
      <c r="O3810" s="30"/>
      <c r="P3810" s="30"/>
      <c r="Q3810" s="30"/>
      <c r="R3810" s="30"/>
    </row>
    <row r="3811" spans="1:19" x14ac:dyDescent="0.35">
      <c r="A3811" s="30"/>
      <c r="B3811" s="30"/>
      <c r="C3811" s="30"/>
      <c r="D3811" s="30"/>
      <c r="E3811" s="30"/>
      <c r="F3811" s="30"/>
      <c r="G3811" s="30"/>
      <c r="H3811" s="30"/>
      <c r="I3811" s="30"/>
      <c r="J3811" s="30"/>
      <c r="K3811" s="30"/>
      <c r="L3811" s="30"/>
      <c r="M3811" s="30"/>
      <c r="N3811" s="30"/>
      <c r="O3811" s="30"/>
      <c r="P3811" s="30"/>
      <c r="Q3811" s="30"/>
      <c r="R3811" s="30"/>
      <c r="S3811" s="30"/>
    </row>
    <row r="3812" spans="1:19" x14ac:dyDescent="0.35">
      <c r="A3812" s="30"/>
      <c r="B3812" s="30"/>
      <c r="C3812" s="30"/>
      <c r="D3812" s="30"/>
      <c r="E3812" s="30"/>
      <c r="F3812" s="30"/>
      <c r="G3812" s="30"/>
      <c r="H3812" s="30"/>
      <c r="I3812" s="30"/>
      <c r="J3812" s="30"/>
      <c r="K3812" s="30"/>
      <c r="L3812" s="30"/>
      <c r="M3812" s="30"/>
      <c r="N3812" s="30"/>
      <c r="O3812" s="30"/>
      <c r="P3812" s="30"/>
      <c r="Q3812" s="30"/>
      <c r="R3812" s="30"/>
    </row>
    <row r="3818" spans="1:19" x14ac:dyDescent="0.35">
      <c r="A3818" s="30"/>
      <c r="B3818" s="30"/>
      <c r="C3818" s="30"/>
      <c r="D3818" s="30"/>
      <c r="E3818" s="30"/>
      <c r="F3818" s="30"/>
      <c r="G3818" s="30"/>
      <c r="H3818" s="30"/>
      <c r="I3818" s="30"/>
      <c r="J3818" s="30"/>
      <c r="K3818" s="30"/>
      <c r="O3818" s="30"/>
      <c r="P3818" s="30"/>
      <c r="Q3818" s="30"/>
      <c r="R3818" s="30"/>
    </row>
    <row r="3819" spans="1:19" x14ac:dyDescent="0.35">
      <c r="A3819" s="30"/>
      <c r="B3819" s="30"/>
      <c r="C3819" s="30"/>
      <c r="D3819" s="30"/>
      <c r="E3819" s="30"/>
      <c r="F3819" s="30"/>
      <c r="G3819" s="30"/>
      <c r="H3819" s="30"/>
      <c r="I3819" s="30"/>
      <c r="J3819" s="30"/>
      <c r="K3819" s="30"/>
      <c r="L3819" s="30"/>
      <c r="M3819" s="30"/>
      <c r="N3819" s="30"/>
      <c r="O3819" s="30"/>
      <c r="P3819" s="30"/>
      <c r="Q3819" s="30"/>
      <c r="R3819" s="30"/>
    </row>
    <row r="3820" spans="1:19" x14ac:dyDescent="0.35">
      <c r="A3820" s="30"/>
      <c r="B3820" s="30"/>
      <c r="C3820" s="30"/>
      <c r="D3820" s="30"/>
      <c r="E3820" s="30"/>
      <c r="F3820" s="30"/>
      <c r="G3820" s="30"/>
      <c r="H3820" s="30"/>
      <c r="I3820" s="30"/>
      <c r="J3820" s="30"/>
      <c r="K3820" s="30"/>
      <c r="L3820" s="30"/>
      <c r="M3820" s="30"/>
      <c r="N3820" s="30"/>
      <c r="O3820" s="30"/>
      <c r="P3820" s="30"/>
      <c r="Q3820" s="30"/>
      <c r="R3820" s="30"/>
    </row>
    <row r="3823" spans="1:19" x14ac:dyDescent="0.35">
      <c r="S3823" s="30"/>
    </row>
    <row r="3824" spans="1:19" x14ac:dyDescent="0.35">
      <c r="S3824" s="30"/>
    </row>
    <row r="3832" spans="1:19" x14ac:dyDescent="0.35">
      <c r="A3832" s="30"/>
      <c r="B3832" s="30"/>
      <c r="C3832" s="30"/>
      <c r="D3832" s="30"/>
      <c r="E3832" s="30"/>
      <c r="F3832" s="30"/>
      <c r="G3832" s="30"/>
      <c r="H3832" s="30"/>
      <c r="I3832" s="30"/>
      <c r="J3832" s="30"/>
      <c r="K3832" s="30"/>
      <c r="L3832" s="30"/>
      <c r="M3832" s="30"/>
      <c r="N3832" s="30"/>
      <c r="O3832" s="30"/>
      <c r="P3832" s="30"/>
      <c r="Q3832" s="30"/>
      <c r="R3832" s="30"/>
      <c r="S3832" s="30"/>
    </row>
    <row r="3833" spans="1:19" x14ac:dyDescent="0.35">
      <c r="A3833" s="30"/>
      <c r="B3833" s="30"/>
      <c r="C3833" s="30"/>
      <c r="D3833" s="30"/>
      <c r="E3833" s="30"/>
      <c r="F3833" s="30"/>
      <c r="G3833" s="30"/>
      <c r="H3833" s="30"/>
      <c r="I3833" s="30"/>
      <c r="J3833" s="30"/>
      <c r="K3833" s="30"/>
      <c r="L3833" s="30"/>
      <c r="M3833" s="30"/>
      <c r="N3833" s="30"/>
      <c r="O3833" s="30"/>
      <c r="P3833" s="30"/>
      <c r="Q3833" s="30"/>
      <c r="R3833" s="30"/>
    </row>
    <row r="3835" spans="1:19" x14ac:dyDescent="0.35">
      <c r="A3835" s="30"/>
      <c r="B3835" s="30"/>
      <c r="C3835" s="30"/>
      <c r="D3835" s="30"/>
      <c r="E3835" s="30"/>
      <c r="F3835" s="30"/>
      <c r="G3835" s="30"/>
      <c r="H3835" s="30"/>
      <c r="I3835" s="30"/>
      <c r="J3835" s="30"/>
      <c r="K3835" s="30"/>
      <c r="O3835" s="30"/>
      <c r="P3835" s="30"/>
      <c r="Q3835" s="30"/>
      <c r="R3835" s="30"/>
    </row>
    <row r="3839" spans="1:19" x14ac:dyDescent="0.35">
      <c r="A3839" s="30"/>
      <c r="B3839" s="30"/>
      <c r="C3839" s="30"/>
      <c r="D3839" s="30"/>
      <c r="E3839" s="30"/>
      <c r="F3839" s="30"/>
      <c r="G3839" s="30"/>
      <c r="H3839" s="30"/>
      <c r="I3839" s="30"/>
      <c r="J3839" s="30"/>
      <c r="K3839" s="30"/>
      <c r="L3839" s="30"/>
      <c r="M3839" s="30"/>
      <c r="N3839" s="30"/>
      <c r="O3839" s="30"/>
      <c r="P3839" s="30"/>
      <c r="Q3839" s="30"/>
      <c r="R3839" s="30"/>
      <c r="S3839" s="30"/>
    </row>
    <row r="3843" spans="1:19" x14ac:dyDescent="0.35">
      <c r="S3843" s="30"/>
    </row>
    <row r="3844" spans="1:19" x14ac:dyDescent="0.35">
      <c r="A3844" s="30"/>
      <c r="B3844" s="30"/>
      <c r="C3844" s="30"/>
      <c r="D3844" s="30"/>
      <c r="E3844" s="30"/>
      <c r="F3844" s="30"/>
      <c r="G3844" s="30"/>
      <c r="H3844" s="30"/>
      <c r="I3844" s="30"/>
      <c r="J3844" s="30"/>
      <c r="K3844" s="30"/>
      <c r="L3844" s="30"/>
      <c r="M3844" s="30"/>
      <c r="N3844" s="30"/>
      <c r="O3844" s="30"/>
      <c r="P3844" s="30"/>
      <c r="Q3844" s="30"/>
      <c r="R3844" s="30"/>
    </row>
    <row r="3845" spans="1:19" x14ac:dyDescent="0.35">
      <c r="A3845" s="30"/>
      <c r="B3845" s="30"/>
      <c r="C3845" s="30"/>
      <c r="D3845" s="30"/>
      <c r="E3845" s="30"/>
      <c r="F3845" s="30"/>
      <c r="G3845" s="30"/>
      <c r="H3845" s="30"/>
      <c r="I3845" s="30"/>
      <c r="J3845" s="30"/>
      <c r="K3845" s="30"/>
      <c r="L3845" s="30"/>
      <c r="M3845" s="30"/>
      <c r="N3845" s="30"/>
      <c r="O3845" s="30"/>
      <c r="P3845" s="30"/>
      <c r="Q3845" s="30"/>
      <c r="R3845" s="30"/>
      <c r="S3845" s="30"/>
    </row>
    <row r="3846" spans="1:19" x14ac:dyDescent="0.35">
      <c r="A3846" s="30"/>
      <c r="B3846" s="30"/>
      <c r="C3846" s="30"/>
      <c r="D3846" s="30"/>
      <c r="E3846" s="30"/>
      <c r="F3846" s="30"/>
      <c r="G3846" s="30"/>
      <c r="H3846" s="30"/>
      <c r="I3846" s="30"/>
      <c r="J3846" s="30"/>
      <c r="K3846" s="30"/>
      <c r="L3846" s="30"/>
      <c r="M3846" s="30"/>
      <c r="N3846" s="30"/>
      <c r="O3846" s="30"/>
      <c r="P3846" s="30"/>
      <c r="Q3846" s="30"/>
      <c r="R3846" s="30"/>
    </row>
    <row r="3848" spans="1:19" x14ac:dyDescent="0.35">
      <c r="A3848" s="30"/>
      <c r="B3848" s="30"/>
      <c r="C3848" s="30"/>
      <c r="D3848" s="30"/>
      <c r="E3848" s="30"/>
      <c r="F3848" s="30"/>
      <c r="G3848" s="30"/>
      <c r="H3848" s="30"/>
      <c r="I3848" s="30"/>
      <c r="J3848" s="30"/>
      <c r="K3848" s="30"/>
      <c r="L3848" s="30"/>
      <c r="M3848" s="30"/>
      <c r="N3848" s="30"/>
      <c r="O3848" s="30"/>
      <c r="P3848" s="30"/>
      <c r="Q3848" s="30"/>
      <c r="R3848" s="30"/>
      <c r="S3848" s="30"/>
    </row>
    <row r="3849" spans="1:19" x14ac:dyDescent="0.35">
      <c r="A3849" s="30"/>
      <c r="B3849" s="30"/>
      <c r="C3849" s="30"/>
      <c r="D3849" s="30"/>
      <c r="E3849" s="30"/>
      <c r="F3849" s="30"/>
      <c r="G3849" s="30"/>
      <c r="H3849" s="30"/>
      <c r="I3849" s="30"/>
      <c r="J3849" s="30"/>
      <c r="K3849" s="30"/>
      <c r="L3849" s="30"/>
      <c r="M3849" s="30"/>
      <c r="N3849" s="30"/>
      <c r="O3849" s="30"/>
      <c r="P3849" s="30"/>
      <c r="Q3849" s="30"/>
      <c r="R3849" s="30"/>
    </row>
    <row r="3852" spans="1:19" x14ac:dyDescent="0.35">
      <c r="A3852" s="30"/>
      <c r="B3852" s="30"/>
      <c r="C3852" s="30"/>
      <c r="D3852" s="30"/>
      <c r="E3852" s="30"/>
      <c r="F3852" s="30"/>
      <c r="G3852" s="30"/>
      <c r="H3852" s="30"/>
      <c r="I3852" s="30"/>
      <c r="J3852" s="30"/>
      <c r="K3852" s="30"/>
      <c r="L3852" s="30"/>
      <c r="M3852" s="30"/>
      <c r="N3852" s="30"/>
      <c r="O3852" s="30"/>
      <c r="P3852" s="30"/>
      <c r="Q3852" s="30"/>
      <c r="R3852" s="30"/>
    </row>
    <row r="3855" spans="1:19" x14ac:dyDescent="0.35">
      <c r="S3855" s="30"/>
    </row>
    <row r="3856" spans="1:19" x14ac:dyDescent="0.35">
      <c r="S3856" s="30"/>
    </row>
    <row r="3859" spans="1:19" x14ac:dyDescent="0.35">
      <c r="A3859" s="30"/>
      <c r="B3859" s="30"/>
      <c r="C3859" s="30"/>
      <c r="D3859" s="30"/>
      <c r="E3859" s="30"/>
      <c r="F3859" s="30"/>
      <c r="G3859" s="30"/>
      <c r="H3859" s="30"/>
      <c r="I3859" s="30"/>
      <c r="J3859" s="30"/>
      <c r="K3859" s="30"/>
      <c r="L3859" s="30"/>
      <c r="M3859" s="30"/>
      <c r="N3859" s="30"/>
      <c r="O3859" s="30"/>
      <c r="P3859" s="30"/>
      <c r="Q3859" s="30"/>
      <c r="R3859" s="30"/>
      <c r="S3859" s="30"/>
    </row>
    <row r="3860" spans="1:19" x14ac:dyDescent="0.35">
      <c r="A3860" s="30"/>
      <c r="B3860" s="30"/>
      <c r="C3860" s="30"/>
      <c r="D3860" s="30"/>
      <c r="E3860" s="30"/>
      <c r="F3860" s="30"/>
      <c r="G3860" s="30"/>
      <c r="H3860" s="30"/>
      <c r="I3860" s="30"/>
      <c r="J3860" s="30"/>
      <c r="K3860" s="30"/>
      <c r="L3860" s="30"/>
      <c r="M3860" s="30"/>
      <c r="N3860" s="30"/>
      <c r="O3860" s="30"/>
      <c r="P3860" s="30"/>
      <c r="Q3860" s="30"/>
      <c r="R3860" s="30"/>
      <c r="S3860" s="30"/>
    </row>
    <row r="3861" spans="1:19" x14ac:dyDescent="0.35">
      <c r="A3861" s="30"/>
      <c r="B3861" s="30"/>
      <c r="C3861" s="30"/>
      <c r="D3861" s="30"/>
      <c r="E3861" s="30"/>
      <c r="F3861" s="30"/>
      <c r="G3861" s="30"/>
      <c r="H3861" s="30"/>
      <c r="I3861" s="30"/>
      <c r="J3861" s="30"/>
      <c r="K3861" s="30"/>
      <c r="L3861" s="30"/>
      <c r="M3861" s="30"/>
      <c r="N3861" s="30"/>
      <c r="O3861" s="30"/>
      <c r="P3861" s="30"/>
      <c r="Q3861" s="30"/>
      <c r="R3861" s="30"/>
      <c r="S3861" s="30"/>
    </row>
    <row r="3863" spans="1:19" x14ac:dyDescent="0.35">
      <c r="A3863" s="30"/>
      <c r="B3863" s="30"/>
      <c r="C3863" s="30"/>
      <c r="D3863" s="30"/>
      <c r="E3863" s="30"/>
      <c r="F3863" s="30"/>
      <c r="G3863" s="30"/>
      <c r="H3863" s="30"/>
      <c r="I3863" s="30"/>
      <c r="J3863" s="30"/>
      <c r="K3863" s="30"/>
      <c r="L3863" s="30"/>
      <c r="M3863" s="30"/>
      <c r="N3863" s="30"/>
      <c r="O3863" s="30"/>
      <c r="P3863" s="30"/>
      <c r="Q3863" s="30"/>
      <c r="R3863" s="30"/>
    </row>
    <row r="3864" spans="1:19" x14ac:dyDescent="0.35">
      <c r="A3864" s="30"/>
      <c r="B3864" s="30"/>
      <c r="C3864" s="30"/>
      <c r="D3864" s="30"/>
      <c r="E3864" s="30"/>
      <c r="F3864" s="30"/>
      <c r="G3864" s="30"/>
      <c r="H3864" s="30"/>
      <c r="I3864" s="30"/>
      <c r="J3864" s="30"/>
      <c r="K3864" s="30"/>
      <c r="L3864" s="30"/>
      <c r="M3864" s="30"/>
      <c r="N3864" s="30"/>
      <c r="O3864" s="30"/>
      <c r="P3864" s="30"/>
      <c r="Q3864" s="30"/>
      <c r="R3864" s="30"/>
      <c r="S3864" s="30"/>
    </row>
    <row r="3865" spans="1:19" x14ac:dyDescent="0.35">
      <c r="A3865" s="30"/>
      <c r="B3865" s="30"/>
      <c r="C3865" s="30"/>
      <c r="D3865" s="30"/>
      <c r="E3865" s="30"/>
      <c r="F3865" s="30"/>
      <c r="G3865" s="30"/>
      <c r="H3865" s="30"/>
      <c r="I3865" s="30"/>
      <c r="J3865" s="30"/>
      <c r="K3865" s="30"/>
      <c r="L3865" s="30"/>
      <c r="M3865" s="30"/>
      <c r="N3865" s="30"/>
      <c r="O3865" s="30"/>
      <c r="P3865" s="30"/>
      <c r="Q3865" s="30"/>
      <c r="R3865" s="30"/>
      <c r="S3865" s="30"/>
    </row>
    <row r="3869" spans="1:19" x14ac:dyDescent="0.35">
      <c r="S3869" s="30"/>
    </row>
    <row r="3874" spans="1:13" x14ac:dyDescent="0.35">
      <c r="A3874" s="30"/>
      <c r="B3874" s="30"/>
      <c r="C3874" s="30"/>
      <c r="D3874" s="30"/>
      <c r="E3874" s="30"/>
      <c r="F3874" s="30"/>
      <c r="G3874" s="30"/>
      <c r="H3874" s="30"/>
      <c r="I3874" s="30"/>
      <c r="J3874" s="30"/>
      <c r="K3874" s="30"/>
      <c r="L3874" s="30"/>
      <c r="M3874" s="30"/>
    </row>
    <row r="3878" spans="1:13" x14ac:dyDescent="0.35">
      <c r="A3878" s="30"/>
      <c r="B3878" s="30"/>
      <c r="C3878" s="30"/>
      <c r="D3878" s="30"/>
      <c r="E3878" s="30"/>
      <c r="F3878" s="30"/>
      <c r="G3878" s="30"/>
      <c r="H3878" s="30"/>
      <c r="I3878" s="30"/>
      <c r="J3878" s="30"/>
      <c r="K3878" s="30"/>
      <c r="L3878" s="30"/>
      <c r="M3878" s="30"/>
    </row>
    <row r="3890" spans="1:13" x14ac:dyDescent="0.35">
      <c r="A3890" s="83"/>
      <c r="B3890" s="29"/>
      <c r="C3890" s="29"/>
      <c r="D3890" s="29"/>
      <c r="E3890" s="29"/>
      <c r="F3890" s="29"/>
      <c r="G3890" s="29"/>
      <c r="H3890" s="29"/>
      <c r="I3890" s="29"/>
      <c r="J3890" s="29"/>
      <c r="K3890" s="29"/>
      <c r="L3890" s="29"/>
      <c r="M3890" s="29"/>
    </row>
    <row r="3891" spans="1:13" x14ac:dyDescent="0.35">
      <c r="A3891" s="84"/>
      <c r="B3891" s="28"/>
      <c r="C3891" s="28"/>
      <c r="D3891" s="28"/>
      <c r="E3891" s="28"/>
      <c r="F3891" s="28"/>
      <c r="G3891" s="28"/>
      <c r="H3891" s="28"/>
      <c r="I3891" s="28"/>
      <c r="J3891" s="28"/>
      <c r="K3891" s="28"/>
      <c r="L3891" s="28"/>
      <c r="M3891" s="28"/>
    </row>
    <row r="3892" spans="1:13" x14ac:dyDescent="0.35">
      <c r="A3892" s="83"/>
      <c r="B3892" s="29"/>
      <c r="C3892" s="29"/>
      <c r="D3892" s="29"/>
      <c r="E3892" s="29"/>
      <c r="F3892" s="29"/>
      <c r="G3892" s="29"/>
      <c r="H3892" s="29"/>
      <c r="I3892" s="29"/>
      <c r="J3892" s="29"/>
      <c r="K3892" s="29"/>
      <c r="L3892" s="29"/>
      <c r="M3892" s="29"/>
    </row>
    <row r="3893" spans="1:13" x14ac:dyDescent="0.35">
      <c r="A3893" s="83"/>
      <c r="B3893" s="29"/>
      <c r="C3893" s="29"/>
      <c r="D3893" s="29"/>
      <c r="E3893" s="29"/>
      <c r="F3893" s="29"/>
      <c r="G3893" s="29"/>
      <c r="H3893" s="29"/>
      <c r="I3893" s="29"/>
      <c r="J3893" s="29"/>
      <c r="K3893" s="29"/>
      <c r="L3893" s="29"/>
      <c r="M3893" s="29"/>
    </row>
    <row r="3894" spans="1:13" x14ac:dyDescent="0.35">
      <c r="A3894" s="83"/>
      <c r="B3894" s="29"/>
      <c r="C3894" s="29"/>
      <c r="D3894" s="29"/>
      <c r="E3894" s="29"/>
      <c r="F3894" s="29"/>
      <c r="G3894" s="29"/>
      <c r="H3894" s="29"/>
      <c r="I3894" s="29"/>
      <c r="J3894" s="29"/>
      <c r="K3894" s="29"/>
      <c r="L3894" s="29"/>
      <c r="M3894" s="29"/>
    </row>
    <row r="3895" spans="1:13" x14ac:dyDescent="0.35">
      <c r="A3895" s="84"/>
      <c r="B3895" s="28"/>
      <c r="C3895" s="28"/>
      <c r="D3895" s="28"/>
      <c r="E3895" s="28"/>
      <c r="F3895" s="28"/>
      <c r="G3895" s="28"/>
      <c r="H3895" s="28"/>
      <c r="I3895" s="28"/>
      <c r="J3895" s="28"/>
      <c r="K3895" s="28"/>
      <c r="L3895" s="28"/>
      <c r="M3895" s="28"/>
    </row>
    <row r="3896" spans="1:13" x14ac:dyDescent="0.35">
      <c r="A3896" s="84"/>
      <c r="B3896" s="28"/>
      <c r="C3896" s="28"/>
      <c r="D3896" s="28"/>
      <c r="E3896" s="28"/>
      <c r="F3896" s="28"/>
      <c r="G3896" s="28"/>
      <c r="H3896" s="28"/>
      <c r="I3896" s="28"/>
      <c r="J3896" s="28"/>
      <c r="K3896" s="28"/>
      <c r="L3896" s="28"/>
      <c r="M3896" s="28"/>
    </row>
    <row r="3897" spans="1:13" x14ac:dyDescent="0.35">
      <c r="A3897" s="84"/>
      <c r="B3897" s="28"/>
      <c r="C3897" s="28"/>
      <c r="D3897" s="28"/>
      <c r="E3897" s="28"/>
      <c r="F3897" s="28"/>
      <c r="G3897" s="28"/>
      <c r="H3897" s="28"/>
      <c r="I3897" s="28"/>
      <c r="J3897" s="28"/>
      <c r="K3897" s="28"/>
      <c r="L3897" s="28"/>
      <c r="M3897" s="28"/>
    </row>
    <row r="3898" spans="1:13" x14ac:dyDescent="0.35">
      <c r="A3898" s="83"/>
      <c r="B3898" s="29"/>
      <c r="C3898" s="29"/>
      <c r="D3898" s="29"/>
      <c r="E3898" s="29"/>
      <c r="F3898" s="29"/>
      <c r="G3898" s="29"/>
      <c r="H3898" s="29"/>
      <c r="I3898" s="29"/>
      <c r="J3898" s="29"/>
      <c r="K3898" s="29"/>
      <c r="L3898" s="29"/>
      <c r="M3898" s="29"/>
    </row>
    <row r="3899" spans="1:13" x14ac:dyDescent="0.35">
      <c r="A3899" s="83"/>
      <c r="B3899" s="29"/>
      <c r="C3899" s="29"/>
      <c r="D3899" s="29"/>
      <c r="E3899" s="29"/>
      <c r="F3899" s="29"/>
      <c r="G3899" s="29"/>
      <c r="H3899" s="29"/>
      <c r="I3899" s="29"/>
      <c r="J3899" s="29"/>
      <c r="K3899" s="29"/>
      <c r="L3899" s="29"/>
      <c r="M3899" s="29"/>
    </row>
    <row r="3900" spans="1:13" x14ac:dyDescent="0.35">
      <c r="A3900" s="83"/>
      <c r="B3900" s="29"/>
      <c r="C3900" s="29"/>
      <c r="D3900" s="29"/>
      <c r="E3900" s="29"/>
      <c r="F3900" s="29"/>
      <c r="G3900" s="29"/>
      <c r="H3900" s="29"/>
      <c r="I3900" s="29"/>
      <c r="J3900" s="29"/>
      <c r="K3900" s="29"/>
      <c r="L3900" s="29"/>
      <c r="M3900" s="29"/>
    </row>
    <row r="3901" spans="1:13" x14ac:dyDescent="0.35">
      <c r="A3901" s="83"/>
      <c r="B3901" s="29"/>
      <c r="C3901" s="29"/>
      <c r="D3901" s="29"/>
      <c r="E3901" s="29"/>
      <c r="F3901" s="29"/>
      <c r="G3901" s="29"/>
      <c r="H3901" s="29"/>
      <c r="I3901" s="29"/>
      <c r="J3901" s="29"/>
      <c r="K3901" s="29"/>
      <c r="L3901" s="29"/>
      <c r="M3901" s="29"/>
    </row>
    <row r="3902" spans="1:13" x14ac:dyDescent="0.35">
      <c r="A3902" s="84"/>
      <c r="B3902" s="28"/>
      <c r="C3902" s="28"/>
      <c r="D3902" s="28"/>
      <c r="E3902" s="28"/>
      <c r="F3902" s="28"/>
      <c r="G3902" s="28"/>
      <c r="H3902" s="28"/>
      <c r="I3902" s="28"/>
      <c r="J3902" s="28"/>
      <c r="K3902" s="28"/>
      <c r="L3902" s="28"/>
      <c r="M3902" s="28"/>
    </row>
    <row r="3903" spans="1:13" x14ac:dyDescent="0.35">
      <c r="A3903" s="84"/>
      <c r="B3903" s="28"/>
      <c r="C3903" s="28"/>
      <c r="D3903" s="28"/>
      <c r="E3903" s="28"/>
      <c r="F3903" s="28"/>
      <c r="G3903" s="28"/>
      <c r="H3903" s="28"/>
      <c r="I3903" s="28"/>
      <c r="J3903" s="28"/>
      <c r="K3903" s="28"/>
      <c r="L3903" s="28"/>
      <c r="M3903" s="28"/>
    </row>
    <row r="3904" spans="1:13" x14ac:dyDescent="0.35">
      <c r="A3904" s="84"/>
      <c r="B3904" s="28"/>
      <c r="C3904" s="28"/>
      <c r="D3904" s="28"/>
      <c r="E3904" s="28"/>
      <c r="F3904" s="28"/>
      <c r="G3904" s="28"/>
      <c r="H3904" s="28"/>
      <c r="I3904" s="28"/>
      <c r="J3904" s="28"/>
      <c r="K3904" s="28"/>
      <c r="L3904" s="28"/>
      <c r="M3904" s="28"/>
    </row>
    <row r="3905" spans="1:13" x14ac:dyDescent="0.35">
      <c r="A3905" s="84"/>
      <c r="B3905" s="28"/>
      <c r="C3905" s="28"/>
      <c r="D3905" s="28"/>
      <c r="E3905" s="28"/>
      <c r="F3905" s="28"/>
      <c r="G3905" s="28"/>
      <c r="H3905" s="28"/>
      <c r="I3905" s="28"/>
      <c r="J3905" s="28"/>
      <c r="K3905" s="28"/>
      <c r="L3905" s="28"/>
      <c r="M3905" s="28"/>
    </row>
    <row r="3906" spans="1:13" x14ac:dyDescent="0.35">
      <c r="A3906" s="83"/>
      <c r="B3906" s="29"/>
      <c r="C3906" s="29"/>
      <c r="D3906" s="29"/>
      <c r="E3906" s="29"/>
      <c r="F3906" s="29"/>
      <c r="G3906" s="29"/>
      <c r="H3906" s="29"/>
      <c r="I3906" s="29"/>
      <c r="J3906" s="29"/>
      <c r="K3906" s="29"/>
      <c r="L3906" s="29"/>
      <c r="M3906" s="29"/>
    </row>
    <row r="3907" spans="1:13" x14ac:dyDescent="0.35">
      <c r="A3907" s="84"/>
      <c r="B3907" s="28"/>
      <c r="C3907" s="28"/>
      <c r="D3907" s="28"/>
      <c r="E3907" s="28"/>
      <c r="F3907" s="28"/>
      <c r="G3907" s="28"/>
      <c r="H3907" s="28"/>
      <c r="I3907" s="28"/>
      <c r="J3907" s="28"/>
      <c r="K3907" s="28"/>
      <c r="L3907" s="28"/>
      <c r="M3907" s="28"/>
    </row>
    <row r="3908" spans="1:13" x14ac:dyDescent="0.35">
      <c r="A3908" s="84"/>
      <c r="B3908" s="28"/>
      <c r="C3908" s="28"/>
      <c r="D3908" s="28"/>
      <c r="E3908" s="28"/>
      <c r="F3908" s="28"/>
      <c r="G3908" s="28"/>
      <c r="H3908" s="28"/>
      <c r="I3908" s="28"/>
      <c r="J3908" s="28"/>
      <c r="K3908" s="28"/>
      <c r="L3908" s="28"/>
      <c r="M3908" s="28"/>
    </row>
    <row r="3909" spans="1:13" x14ac:dyDescent="0.35">
      <c r="A3909" s="83"/>
      <c r="B3909" s="29"/>
      <c r="C3909" s="29"/>
      <c r="D3909" s="29"/>
      <c r="E3909" s="29"/>
      <c r="F3909" s="29"/>
      <c r="G3909" s="29"/>
      <c r="H3909" s="29"/>
      <c r="I3909" s="29"/>
      <c r="J3909" s="29"/>
      <c r="K3909" s="29"/>
      <c r="L3909" s="29"/>
      <c r="M3909" s="29"/>
    </row>
    <row r="3910" spans="1:13" x14ac:dyDescent="0.35">
      <c r="A3910" s="83"/>
      <c r="B3910" s="29"/>
      <c r="C3910" s="29"/>
      <c r="D3910" s="29"/>
      <c r="E3910" s="29"/>
      <c r="F3910" s="29"/>
      <c r="G3910" s="29"/>
      <c r="H3910" s="29"/>
      <c r="I3910" s="29"/>
      <c r="J3910" s="29"/>
      <c r="K3910" s="29"/>
      <c r="L3910" s="29"/>
      <c r="M3910" s="29"/>
    </row>
    <row r="3911" spans="1:13" x14ac:dyDescent="0.35">
      <c r="A3911" s="84"/>
      <c r="B3911" s="28"/>
      <c r="C3911" s="28"/>
      <c r="D3911" s="28"/>
      <c r="E3911" s="28"/>
      <c r="F3911" s="28"/>
      <c r="G3911" s="28"/>
      <c r="H3911" s="28"/>
      <c r="I3911" s="28"/>
      <c r="J3911" s="28"/>
      <c r="K3911" s="28"/>
      <c r="L3911" s="28"/>
      <c r="M3911" s="28"/>
    </row>
    <row r="3912" spans="1:13" x14ac:dyDescent="0.35">
      <c r="A3912" s="84"/>
      <c r="B3912" s="28"/>
      <c r="C3912" s="28"/>
      <c r="D3912" s="28"/>
      <c r="E3912" s="28"/>
      <c r="F3912" s="28"/>
      <c r="G3912" s="28"/>
      <c r="H3912" s="28"/>
      <c r="I3912" s="28"/>
      <c r="J3912" s="28"/>
      <c r="K3912" s="28"/>
      <c r="L3912" s="28"/>
      <c r="M3912" s="28"/>
    </row>
    <row r="3913" spans="1:13" x14ac:dyDescent="0.35">
      <c r="A3913" s="83"/>
      <c r="B3913" s="29"/>
      <c r="C3913" s="29"/>
      <c r="D3913" s="29"/>
      <c r="E3913" s="29"/>
      <c r="F3913" s="29"/>
      <c r="G3913" s="29"/>
      <c r="H3913" s="29"/>
      <c r="I3913" s="29"/>
      <c r="J3913" s="29"/>
      <c r="K3913" s="29"/>
      <c r="L3913" s="29"/>
      <c r="M3913" s="29"/>
    </row>
    <row r="3914" spans="1:13" x14ac:dyDescent="0.35">
      <c r="A3914" s="83"/>
      <c r="B3914" s="29"/>
      <c r="C3914" s="29"/>
      <c r="D3914" s="29"/>
      <c r="E3914" s="29"/>
      <c r="F3914" s="29"/>
      <c r="G3914" s="29"/>
      <c r="H3914" s="29"/>
      <c r="I3914" s="29"/>
      <c r="J3914" s="29"/>
      <c r="K3914" s="29"/>
      <c r="L3914" s="29"/>
      <c r="M3914" s="29"/>
    </row>
    <row r="3915" spans="1:13" x14ac:dyDescent="0.35">
      <c r="A3915" s="83"/>
      <c r="B3915" s="29"/>
      <c r="C3915" s="29"/>
      <c r="D3915" s="29"/>
      <c r="E3915" s="29"/>
      <c r="F3915" s="29"/>
      <c r="G3915" s="29"/>
      <c r="H3915" s="29"/>
      <c r="I3915" s="29"/>
      <c r="J3915" s="29"/>
      <c r="K3915" s="29"/>
      <c r="L3915" s="29"/>
      <c r="M3915" s="29"/>
    </row>
    <row r="3916" spans="1:13" x14ac:dyDescent="0.35">
      <c r="A3916" s="83"/>
      <c r="B3916" s="29"/>
      <c r="C3916" s="29"/>
      <c r="D3916" s="29"/>
      <c r="E3916" s="29"/>
      <c r="F3916" s="29"/>
      <c r="G3916" s="29"/>
      <c r="H3916" s="29"/>
      <c r="I3916" s="29"/>
      <c r="J3916" s="29"/>
      <c r="K3916" s="29"/>
      <c r="L3916" s="29"/>
      <c r="M3916" s="29"/>
    </row>
    <row r="3917" spans="1:13" x14ac:dyDescent="0.35">
      <c r="A3917" s="83"/>
      <c r="B3917" s="29"/>
      <c r="C3917" s="29"/>
      <c r="D3917" s="29"/>
      <c r="E3917" s="29"/>
      <c r="F3917" s="29"/>
      <c r="G3917" s="29"/>
      <c r="H3917" s="29"/>
      <c r="I3917" s="29"/>
      <c r="J3917" s="29"/>
      <c r="K3917" s="29"/>
      <c r="L3917" s="29"/>
      <c r="M3917" s="29"/>
    </row>
    <row r="3918" spans="1:13" x14ac:dyDescent="0.35">
      <c r="A3918" s="83"/>
      <c r="B3918" s="29"/>
      <c r="C3918" s="29"/>
      <c r="D3918" s="29"/>
      <c r="E3918" s="29"/>
      <c r="F3918" s="29"/>
      <c r="G3918" s="29"/>
      <c r="H3918" s="29"/>
      <c r="I3918" s="29"/>
      <c r="J3918" s="29"/>
      <c r="K3918" s="29"/>
      <c r="L3918" s="29"/>
      <c r="M3918" s="29"/>
    </row>
    <row r="3919" spans="1:13" x14ac:dyDescent="0.35">
      <c r="A3919" s="83"/>
      <c r="B3919" s="29"/>
      <c r="C3919" s="29"/>
      <c r="D3919" s="29"/>
      <c r="E3919" s="29"/>
      <c r="F3919" s="29"/>
      <c r="G3919" s="29"/>
      <c r="H3919" s="29"/>
      <c r="I3919" s="29"/>
      <c r="J3919" s="29"/>
      <c r="K3919" s="29"/>
      <c r="L3919" s="29"/>
      <c r="M3919" s="29"/>
    </row>
    <row r="3920" spans="1:13" x14ac:dyDescent="0.35">
      <c r="A3920" s="84"/>
      <c r="B3920" s="28"/>
      <c r="C3920" s="28"/>
      <c r="D3920" s="28"/>
      <c r="E3920" s="28"/>
      <c r="F3920" s="28"/>
      <c r="G3920" s="28"/>
      <c r="H3920" s="28"/>
      <c r="I3920" s="28"/>
      <c r="J3920" s="28"/>
      <c r="K3920" s="28"/>
      <c r="L3920" s="28"/>
      <c r="M3920" s="28"/>
    </row>
    <row r="3921" spans="1:13" x14ac:dyDescent="0.35">
      <c r="A3921" s="83"/>
      <c r="B3921" s="29"/>
      <c r="C3921" s="29"/>
      <c r="D3921" s="29"/>
      <c r="E3921" s="29"/>
      <c r="F3921" s="29"/>
      <c r="G3921" s="29"/>
      <c r="H3921" s="29"/>
      <c r="I3921" s="29"/>
      <c r="J3921" s="29"/>
      <c r="K3921" s="29"/>
      <c r="L3921" s="29"/>
      <c r="M3921" s="29"/>
    </row>
    <row r="3922" spans="1:13" x14ac:dyDescent="0.35">
      <c r="A3922" s="84"/>
      <c r="B3922" s="28"/>
      <c r="C3922" s="28"/>
      <c r="D3922" s="28"/>
      <c r="E3922" s="28"/>
      <c r="F3922" s="28"/>
      <c r="G3922" s="28"/>
      <c r="H3922" s="28"/>
      <c r="I3922" s="28"/>
      <c r="J3922" s="28"/>
      <c r="K3922" s="28"/>
      <c r="L3922" s="28"/>
      <c r="M3922" s="28"/>
    </row>
    <row r="3923" spans="1:13" x14ac:dyDescent="0.35">
      <c r="A3923" s="86"/>
      <c r="B3923" s="21"/>
      <c r="C3923" s="21"/>
      <c r="D3923" s="21"/>
      <c r="E3923" s="21"/>
      <c r="F3923" s="21"/>
      <c r="G3923" s="21"/>
      <c r="H3923" s="21"/>
      <c r="I3923" s="21"/>
      <c r="J3923" s="21"/>
      <c r="K3923" s="21"/>
      <c r="L3923" s="21"/>
      <c r="M3923" s="22"/>
    </row>
    <row r="3924" spans="1:13" x14ac:dyDescent="0.35">
      <c r="A3924" s="85"/>
      <c r="B3924" s="23"/>
      <c r="C3924" s="23"/>
      <c r="D3924" s="23"/>
      <c r="E3924" s="23"/>
      <c r="F3924" s="23"/>
      <c r="G3924" s="23"/>
      <c r="H3924" s="23"/>
      <c r="I3924" s="23"/>
      <c r="J3924" s="23"/>
      <c r="K3924" s="23"/>
      <c r="L3924" s="23"/>
      <c r="M3924" s="24"/>
    </row>
    <row r="3925" spans="1:13" x14ac:dyDescent="0.35">
      <c r="A3925" s="86"/>
      <c r="B3925" s="21"/>
      <c r="C3925" s="21"/>
      <c r="D3925" s="21"/>
      <c r="E3925" s="21"/>
      <c r="F3925" s="21"/>
      <c r="G3925" s="21"/>
      <c r="H3925" s="21"/>
      <c r="I3925" s="21"/>
      <c r="J3925" s="21"/>
      <c r="K3925" s="21"/>
      <c r="L3925" s="21"/>
      <c r="M3925" s="22"/>
    </row>
    <row r="3926" spans="1:13" x14ac:dyDescent="0.35">
      <c r="A3926" s="85"/>
      <c r="B3926" s="23"/>
      <c r="C3926" s="23"/>
      <c r="D3926" s="23"/>
      <c r="E3926" s="23"/>
      <c r="F3926" s="23"/>
      <c r="G3926" s="23"/>
      <c r="H3926" s="23"/>
      <c r="I3926" s="23"/>
      <c r="J3926" s="23"/>
      <c r="K3926" s="23"/>
      <c r="L3926" s="23"/>
      <c r="M3926" s="24"/>
    </row>
    <row r="3927" spans="1:13" x14ac:dyDescent="0.35">
      <c r="A3927" s="82"/>
      <c r="B3927" s="19"/>
      <c r="C3927" s="19"/>
      <c r="D3927" s="19"/>
      <c r="E3927" s="19"/>
      <c r="F3927" s="19"/>
      <c r="G3927" s="19"/>
      <c r="H3927" s="19"/>
      <c r="I3927" s="19"/>
      <c r="J3927" s="19"/>
      <c r="K3927" s="19"/>
      <c r="L3927" s="19"/>
      <c r="M3927" s="20"/>
    </row>
    <row r="3928" spans="1:13" x14ac:dyDescent="0.35">
      <c r="A3928" s="82"/>
      <c r="B3928" s="19"/>
      <c r="C3928" s="19"/>
      <c r="D3928" s="19"/>
      <c r="E3928" s="19"/>
      <c r="F3928" s="19"/>
      <c r="G3928" s="19"/>
      <c r="H3928" s="19"/>
      <c r="I3928" s="19"/>
      <c r="J3928" s="19"/>
      <c r="K3928" s="19"/>
      <c r="L3928" s="19"/>
      <c r="M3928" s="20"/>
    </row>
    <row r="3929" spans="1:13" x14ac:dyDescent="0.35">
      <c r="A3929" s="82"/>
      <c r="B3929" s="19"/>
      <c r="C3929" s="19"/>
      <c r="D3929" s="19"/>
      <c r="E3929" s="19"/>
      <c r="F3929" s="19"/>
      <c r="G3929" s="19"/>
      <c r="H3929" s="19"/>
      <c r="I3929" s="19"/>
      <c r="J3929" s="19"/>
      <c r="K3929" s="19"/>
      <c r="L3929" s="19"/>
      <c r="M3929" s="20"/>
    </row>
    <row r="3930" spans="1:13" x14ac:dyDescent="0.35">
      <c r="A3930" s="82"/>
      <c r="B3930" s="19"/>
      <c r="C3930" s="19"/>
      <c r="D3930" s="19"/>
      <c r="E3930" s="19"/>
      <c r="F3930" s="19"/>
      <c r="G3930" s="19"/>
      <c r="H3930" s="19"/>
      <c r="I3930" s="19"/>
      <c r="J3930" s="19"/>
      <c r="K3930" s="19"/>
      <c r="L3930" s="19"/>
      <c r="M3930" s="20"/>
    </row>
    <row r="3931" spans="1:13" x14ac:dyDescent="0.35">
      <c r="A3931" s="82"/>
      <c r="B3931" s="19"/>
      <c r="C3931" s="19"/>
      <c r="D3931" s="19"/>
      <c r="E3931" s="19"/>
      <c r="F3931" s="19"/>
      <c r="G3931" s="19"/>
      <c r="H3931" s="19"/>
      <c r="I3931" s="19"/>
      <c r="J3931" s="19"/>
      <c r="K3931" s="19"/>
      <c r="L3931" s="19"/>
      <c r="M3931" s="20"/>
    </row>
    <row r="3932" spans="1:13" x14ac:dyDescent="0.35">
      <c r="A3932" s="82"/>
      <c r="B3932" s="19"/>
      <c r="C3932" s="19"/>
      <c r="D3932" s="19"/>
      <c r="E3932" s="19"/>
      <c r="F3932" s="19"/>
      <c r="G3932" s="19"/>
      <c r="H3932" s="19"/>
      <c r="I3932" s="19"/>
      <c r="J3932" s="19"/>
      <c r="K3932" s="19"/>
      <c r="L3932" s="19"/>
      <c r="M3932" s="20"/>
    </row>
    <row r="3933" spans="1:13" x14ac:dyDescent="0.35">
      <c r="A3933" s="82"/>
      <c r="B3933" s="19"/>
      <c r="C3933" s="19"/>
      <c r="D3933" s="19"/>
      <c r="E3933" s="19"/>
      <c r="F3933" s="19"/>
      <c r="G3933" s="19"/>
      <c r="H3933" s="19"/>
      <c r="I3933" s="19"/>
      <c r="J3933" s="19"/>
      <c r="K3933" s="19"/>
      <c r="L3933" s="19"/>
      <c r="M3933" s="20"/>
    </row>
    <row r="3934" spans="1:13" x14ac:dyDescent="0.35">
      <c r="A3934" s="82"/>
      <c r="B3934" s="19"/>
      <c r="C3934" s="19"/>
      <c r="D3934" s="19"/>
      <c r="E3934" s="19"/>
      <c r="F3934" s="19"/>
      <c r="G3934" s="19"/>
      <c r="H3934" s="19"/>
      <c r="I3934" s="19"/>
      <c r="J3934" s="19"/>
      <c r="K3934" s="19"/>
      <c r="L3934" s="19"/>
      <c r="M3934" s="20"/>
    </row>
    <row r="3935" spans="1:13" x14ac:dyDescent="0.35">
      <c r="A3935" s="82"/>
      <c r="B3935" s="19"/>
      <c r="C3935" s="19"/>
      <c r="D3935" s="19"/>
      <c r="E3935" s="19"/>
      <c r="F3935" s="19"/>
      <c r="G3935" s="19"/>
      <c r="H3935" s="19"/>
      <c r="I3935" s="19"/>
      <c r="J3935" s="19"/>
      <c r="K3935" s="19"/>
      <c r="L3935" s="19"/>
      <c r="M3935" s="20"/>
    </row>
    <row r="3936" spans="1:13" x14ac:dyDescent="0.35">
      <c r="A3936" s="85"/>
      <c r="B3936" s="23"/>
      <c r="C3936" s="23"/>
      <c r="D3936" s="23"/>
      <c r="E3936" s="23"/>
      <c r="F3936" s="23"/>
      <c r="G3936" s="23"/>
      <c r="H3936" s="23"/>
      <c r="I3936" s="23"/>
      <c r="J3936" s="23"/>
      <c r="K3936" s="23"/>
      <c r="L3936" s="23"/>
      <c r="M3936" s="24"/>
    </row>
    <row r="3937" spans="1:13" x14ac:dyDescent="0.35">
      <c r="A3937" s="85"/>
      <c r="B3937" s="23"/>
      <c r="C3937" s="23"/>
      <c r="D3937" s="23"/>
      <c r="E3937" s="23"/>
      <c r="F3937" s="23"/>
      <c r="G3937" s="23"/>
      <c r="H3937" s="23"/>
      <c r="I3937" s="23"/>
      <c r="J3937" s="23"/>
      <c r="K3937" s="23"/>
      <c r="L3937" s="23"/>
      <c r="M3937" s="24"/>
    </row>
    <row r="3938" spans="1:13" x14ac:dyDescent="0.35">
      <c r="A3938" s="85"/>
      <c r="B3938" s="23"/>
      <c r="C3938" s="23"/>
      <c r="D3938" s="23"/>
      <c r="E3938" s="23"/>
      <c r="F3938" s="23"/>
      <c r="G3938" s="23"/>
      <c r="H3938" s="23"/>
      <c r="I3938" s="23"/>
      <c r="J3938" s="23"/>
      <c r="K3938" s="23"/>
      <c r="L3938" s="23"/>
      <c r="M3938" s="24"/>
    </row>
    <row r="3939" spans="1:13" x14ac:dyDescent="0.35">
      <c r="A3939" s="85"/>
      <c r="B3939" s="23"/>
      <c r="C3939" s="23"/>
      <c r="D3939" s="23"/>
      <c r="E3939" s="23"/>
      <c r="F3939" s="23"/>
      <c r="G3939" s="23"/>
      <c r="H3939" s="23"/>
      <c r="I3939" s="23"/>
      <c r="J3939" s="23"/>
      <c r="K3939" s="23"/>
      <c r="L3939" s="23"/>
      <c r="M3939" s="24"/>
    </row>
    <row r="3940" spans="1:13" x14ac:dyDescent="0.35">
      <c r="A3940" s="86"/>
      <c r="B3940" s="21"/>
      <c r="C3940" s="21"/>
      <c r="D3940" s="21"/>
      <c r="E3940" s="21"/>
      <c r="F3940" s="21"/>
      <c r="G3940" s="21"/>
      <c r="H3940" s="21"/>
      <c r="I3940" s="21"/>
      <c r="J3940" s="21"/>
      <c r="K3940" s="21"/>
      <c r="L3940" s="21"/>
      <c r="M3940" s="22"/>
    </row>
    <row r="3941" spans="1:13" x14ac:dyDescent="0.35">
      <c r="A3941" s="86"/>
      <c r="B3941" s="21"/>
      <c r="C3941" s="21"/>
      <c r="D3941" s="21"/>
      <c r="E3941" s="21"/>
      <c r="F3941" s="21"/>
      <c r="G3941" s="21"/>
      <c r="H3941" s="21"/>
      <c r="I3941" s="21"/>
      <c r="J3941" s="21"/>
      <c r="K3941" s="21"/>
      <c r="L3941" s="21"/>
      <c r="M3941" s="22"/>
    </row>
    <row r="3942" spans="1:13" x14ac:dyDescent="0.35">
      <c r="A3942" s="86"/>
      <c r="B3942" s="21"/>
      <c r="C3942" s="21"/>
      <c r="D3942" s="21"/>
      <c r="E3942" s="21"/>
      <c r="F3942" s="21"/>
      <c r="G3942" s="21"/>
      <c r="H3942" s="21"/>
      <c r="I3942" s="21"/>
      <c r="J3942" s="21"/>
      <c r="K3942" s="21"/>
      <c r="L3942" s="21"/>
      <c r="M3942" s="22"/>
    </row>
    <row r="3943" spans="1:13" x14ac:dyDescent="0.35">
      <c r="A3943" s="86"/>
      <c r="B3943" s="21"/>
      <c r="C3943" s="21"/>
      <c r="D3943" s="21"/>
      <c r="E3943" s="21"/>
      <c r="F3943" s="21"/>
      <c r="G3943" s="21"/>
      <c r="H3943" s="21"/>
      <c r="I3943" s="21"/>
      <c r="J3943" s="21"/>
      <c r="K3943" s="21"/>
      <c r="L3943" s="21"/>
      <c r="M3943" s="22"/>
    </row>
    <row r="3944" spans="1:13" x14ac:dyDescent="0.35">
      <c r="A3944" s="85"/>
      <c r="B3944" s="23"/>
      <c r="C3944" s="23"/>
      <c r="D3944" s="23"/>
      <c r="E3944" s="23"/>
      <c r="F3944" s="23"/>
      <c r="G3944" s="23"/>
      <c r="H3944" s="23"/>
      <c r="I3944" s="23"/>
      <c r="J3944" s="23"/>
      <c r="K3944" s="23"/>
      <c r="L3944" s="23"/>
      <c r="M3944" s="24"/>
    </row>
    <row r="3945" spans="1:13" x14ac:dyDescent="0.35">
      <c r="A3945" s="86"/>
      <c r="B3945" s="21"/>
      <c r="C3945" s="21"/>
      <c r="D3945" s="21"/>
      <c r="E3945" s="21"/>
      <c r="F3945" s="21"/>
      <c r="G3945" s="21"/>
      <c r="H3945" s="21"/>
      <c r="I3945" s="21"/>
      <c r="J3945" s="21"/>
      <c r="K3945" s="21"/>
      <c r="L3945" s="21"/>
      <c r="M3945" s="22"/>
    </row>
    <row r="3946" spans="1:13" x14ac:dyDescent="0.35">
      <c r="A3946" s="85"/>
      <c r="B3946" s="23"/>
      <c r="C3946" s="23"/>
      <c r="D3946" s="23"/>
      <c r="E3946" s="23"/>
      <c r="F3946" s="23"/>
      <c r="G3946" s="23"/>
      <c r="H3946" s="23"/>
      <c r="I3946" s="23"/>
      <c r="J3946" s="23"/>
      <c r="K3946" s="23"/>
      <c r="L3946" s="23"/>
      <c r="M3946" s="24"/>
    </row>
    <row r="3947" spans="1:13" x14ac:dyDescent="0.35">
      <c r="A3947" s="86"/>
      <c r="B3947" s="21"/>
      <c r="C3947" s="21"/>
      <c r="D3947" s="21"/>
      <c r="E3947" s="21"/>
      <c r="F3947" s="21"/>
      <c r="G3947" s="21"/>
      <c r="H3947" s="21"/>
      <c r="I3947" s="21"/>
      <c r="J3947" s="21"/>
      <c r="K3947" s="21"/>
      <c r="L3947" s="21"/>
      <c r="M3947" s="22"/>
    </row>
    <row r="3948" spans="1:13" x14ac:dyDescent="0.35">
      <c r="A3948" s="85"/>
      <c r="B3948" s="23"/>
      <c r="C3948" s="23"/>
      <c r="D3948" s="23"/>
      <c r="E3948" s="23"/>
      <c r="F3948" s="23"/>
      <c r="G3948" s="23"/>
      <c r="H3948" s="23"/>
      <c r="I3948" s="23"/>
      <c r="J3948" s="23"/>
      <c r="K3948" s="23"/>
      <c r="L3948" s="23"/>
      <c r="M3948" s="24"/>
    </row>
    <row r="3949" spans="1:13" x14ac:dyDescent="0.35">
      <c r="A3949" s="85"/>
      <c r="B3949" s="23"/>
      <c r="C3949" s="23"/>
      <c r="D3949" s="23"/>
      <c r="E3949" s="23"/>
      <c r="F3949" s="23"/>
      <c r="G3949" s="23"/>
      <c r="H3949" s="23"/>
      <c r="I3949" s="23"/>
      <c r="J3949" s="23"/>
      <c r="K3949" s="23"/>
      <c r="L3949" s="23"/>
      <c r="M3949" s="24"/>
    </row>
    <row r="3950" spans="1:13" x14ac:dyDescent="0.35">
      <c r="A3950" s="86"/>
      <c r="B3950" s="21"/>
      <c r="C3950" s="21"/>
      <c r="D3950" s="21"/>
      <c r="E3950" s="21"/>
      <c r="F3950" s="21"/>
      <c r="G3950" s="21"/>
      <c r="H3950" s="21"/>
      <c r="I3950" s="21"/>
      <c r="J3950" s="21"/>
      <c r="K3950" s="21"/>
      <c r="L3950" s="21"/>
      <c r="M3950" s="22"/>
    </row>
    <row r="3951" spans="1:13" x14ac:dyDescent="0.35">
      <c r="A3951" s="82"/>
      <c r="B3951" s="19"/>
      <c r="C3951" s="19"/>
      <c r="D3951" s="19"/>
      <c r="E3951" s="19"/>
      <c r="F3951" s="19"/>
      <c r="G3951" s="19"/>
      <c r="H3951" s="19"/>
      <c r="I3951" s="19"/>
      <c r="J3951" s="19"/>
      <c r="K3951" s="19"/>
      <c r="L3951" s="19"/>
      <c r="M3951" s="20"/>
    </row>
    <row r="3952" spans="1:13" x14ac:dyDescent="0.35">
      <c r="A3952" s="82"/>
      <c r="B3952" s="19"/>
      <c r="C3952" s="19"/>
      <c r="D3952" s="19"/>
      <c r="E3952" s="19"/>
      <c r="F3952" s="19"/>
      <c r="G3952" s="19"/>
      <c r="H3952" s="19"/>
      <c r="I3952" s="19"/>
      <c r="J3952" s="19"/>
      <c r="K3952" s="19"/>
      <c r="L3952" s="19"/>
      <c r="M3952" s="20"/>
    </row>
    <row r="3953" spans="1:13" x14ac:dyDescent="0.35">
      <c r="A3953" s="82"/>
      <c r="B3953" s="19"/>
      <c r="C3953" s="19"/>
      <c r="D3953" s="19"/>
      <c r="E3953" s="19"/>
      <c r="F3953" s="19"/>
      <c r="G3953" s="19"/>
      <c r="H3953" s="19"/>
      <c r="I3953" s="19"/>
      <c r="J3953" s="19"/>
      <c r="K3953" s="19"/>
      <c r="L3953" s="19"/>
      <c r="M3953" s="20"/>
    </row>
    <row r="3954" spans="1:13" x14ac:dyDescent="0.35">
      <c r="A3954" s="82"/>
      <c r="B3954" s="19"/>
      <c r="C3954" s="19"/>
      <c r="D3954" s="19"/>
      <c r="E3954" s="19"/>
      <c r="F3954" s="19"/>
      <c r="G3954" s="19"/>
      <c r="H3954" s="19"/>
      <c r="I3954" s="19"/>
      <c r="J3954" s="19"/>
      <c r="K3954" s="19"/>
      <c r="L3954" s="19"/>
      <c r="M3954" s="20"/>
    </row>
    <row r="3955" spans="1:13" x14ac:dyDescent="0.35">
      <c r="A3955" s="82"/>
      <c r="B3955" s="19"/>
      <c r="C3955" s="19"/>
      <c r="D3955" s="19"/>
      <c r="E3955" s="19"/>
      <c r="F3955" s="19"/>
      <c r="G3955" s="19"/>
      <c r="H3955" s="19"/>
      <c r="I3955" s="19"/>
      <c r="J3955" s="19"/>
      <c r="K3955" s="19"/>
      <c r="L3955" s="19"/>
      <c r="M3955" s="20"/>
    </row>
    <row r="3956" spans="1:13" x14ac:dyDescent="0.35">
      <c r="A3956" s="82"/>
      <c r="B3956" s="19"/>
      <c r="C3956" s="19"/>
      <c r="D3956" s="19"/>
      <c r="E3956" s="19"/>
      <c r="F3956" s="19"/>
      <c r="G3956" s="19"/>
      <c r="H3956" s="19"/>
      <c r="I3956" s="19"/>
      <c r="J3956" s="19"/>
      <c r="K3956" s="19"/>
      <c r="L3956" s="19"/>
      <c r="M3956" s="20"/>
    </row>
    <row r="3957" spans="1:13" x14ac:dyDescent="0.35">
      <c r="A3957" s="82"/>
      <c r="B3957" s="19"/>
      <c r="C3957" s="19"/>
      <c r="D3957" s="19"/>
      <c r="E3957" s="19"/>
      <c r="F3957" s="19"/>
      <c r="G3957" s="19"/>
      <c r="H3957" s="19"/>
      <c r="I3957" s="19"/>
      <c r="J3957" s="19"/>
      <c r="K3957" s="19"/>
      <c r="L3957" s="19"/>
      <c r="M3957" s="20"/>
    </row>
    <row r="3958" spans="1:13" x14ac:dyDescent="0.35">
      <c r="A3958" s="81"/>
      <c r="B3958" s="17"/>
      <c r="C3958" s="17"/>
      <c r="D3958" s="17"/>
      <c r="E3958" s="17"/>
      <c r="F3958" s="17"/>
      <c r="G3958" s="17"/>
      <c r="H3958" s="17"/>
      <c r="I3958" s="17"/>
      <c r="J3958" s="17"/>
      <c r="K3958" s="17"/>
      <c r="L3958" s="17"/>
      <c r="M3958" s="18"/>
    </row>
    <row r="3959" spans="1:13" x14ac:dyDescent="0.35">
      <c r="A3959" s="81"/>
      <c r="B3959" s="17"/>
      <c r="C3959" s="17"/>
      <c r="D3959" s="17"/>
      <c r="E3959" s="17"/>
      <c r="F3959" s="17"/>
      <c r="G3959" s="17"/>
      <c r="H3959" s="17"/>
      <c r="I3959" s="17"/>
      <c r="J3959" s="17"/>
      <c r="K3959" s="17"/>
      <c r="L3959" s="17"/>
      <c r="M3959" s="18"/>
    </row>
    <row r="3960" spans="1:13" x14ac:dyDescent="0.35">
      <c r="A3960" s="81"/>
      <c r="B3960" s="17"/>
      <c r="C3960" s="17"/>
      <c r="D3960" s="17"/>
      <c r="E3960" s="17"/>
      <c r="F3960" s="17"/>
      <c r="G3960" s="17"/>
      <c r="H3960" s="17"/>
      <c r="I3960" s="17"/>
      <c r="J3960" s="17"/>
      <c r="K3960" s="17"/>
      <c r="L3960" s="17"/>
      <c r="M3960" s="18"/>
    </row>
    <row r="3961" spans="1:13" x14ac:dyDescent="0.35">
      <c r="A3961" s="82"/>
      <c r="B3961" s="19"/>
      <c r="C3961" s="19"/>
      <c r="D3961" s="19"/>
      <c r="E3961" s="19"/>
      <c r="F3961" s="19"/>
      <c r="G3961" s="19"/>
      <c r="H3961" s="19"/>
      <c r="I3961" s="19"/>
      <c r="J3961" s="19"/>
      <c r="K3961" s="19"/>
      <c r="L3961" s="19"/>
      <c r="M3961" s="20"/>
    </row>
    <row r="3962" spans="1:13" x14ac:dyDescent="0.35">
      <c r="A3962" s="81"/>
      <c r="B3962" s="17"/>
      <c r="C3962" s="17"/>
      <c r="D3962" s="17"/>
      <c r="E3962" s="17"/>
      <c r="F3962" s="17"/>
      <c r="G3962" s="17"/>
      <c r="H3962" s="17"/>
      <c r="I3962" s="17"/>
      <c r="J3962" s="17"/>
      <c r="K3962" s="17"/>
      <c r="L3962" s="17"/>
      <c r="M3962" s="18"/>
    </row>
    <row r="3963" spans="1:13" x14ac:dyDescent="0.35">
      <c r="A3963" s="81"/>
      <c r="B3963" s="17"/>
      <c r="C3963" s="17"/>
      <c r="D3963" s="17"/>
      <c r="E3963" s="17"/>
      <c r="F3963" s="17"/>
      <c r="G3963" s="17"/>
      <c r="H3963" s="17"/>
      <c r="I3963" s="17"/>
      <c r="J3963" s="17"/>
      <c r="K3963" s="17"/>
      <c r="L3963" s="17"/>
      <c r="M3963" s="18"/>
    </row>
    <row r="3964" spans="1:13" x14ac:dyDescent="0.35">
      <c r="A3964" s="82"/>
      <c r="B3964" s="19"/>
      <c r="C3964" s="19"/>
      <c r="D3964" s="19"/>
      <c r="E3964" s="19"/>
      <c r="F3964" s="19"/>
      <c r="G3964" s="19"/>
      <c r="H3964" s="19"/>
      <c r="I3964" s="19"/>
      <c r="J3964" s="19"/>
      <c r="K3964" s="19"/>
      <c r="L3964" s="19"/>
      <c r="M3964" s="20"/>
    </row>
    <row r="3965" spans="1:13" x14ac:dyDescent="0.35">
      <c r="A3965" s="81"/>
      <c r="B3965" s="17"/>
      <c r="C3965" s="17"/>
      <c r="D3965" s="17"/>
      <c r="E3965" s="17"/>
      <c r="F3965" s="17"/>
      <c r="G3965" s="17"/>
      <c r="H3965" s="17"/>
      <c r="I3965" s="17"/>
      <c r="J3965" s="17"/>
      <c r="K3965" s="17"/>
      <c r="L3965" s="17"/>
      <c r="M3965" s="18"/>
    </row>
    <row r="3966" spans="1:13" x14ac:dyDescent="0.35">
      <c r="A3966" s="82"/>
      <c r="B3966" s="19"/>
      <c r="C3966" s="19"/>
      <c r="D3966" s="19"/>
      <c r="E3966" s="19"/>
      <c r="F3966" s="19"/>
      <c r="G3966" s="19"/>
      <c r="H3966" s="19"/>
      <c r="I3966" s="19"/>
      <c r="J3966" s="19"/>
      <c r="K3966" s="19"/>
      <c r="L3966" s="19"/>
      <c r="M3966" s="20"/>
    </row>
    <row r="3967" spans="1:13" x14ac:dyDescent="0.35">
      <c r="A3967" s="81"/>
      <c r="B3967" s="17"/>
      <c r="C3967" s="17"/>
      <c r="D3967" s="17"/>
      <c r="E3967" s="17"/>
      <c r="F3967" s="17"/>
      <c r="G3967" s="17"/>
      <c r="H3967" s="17"/>
      <c r="I3967" s="17"/>
      <c r="J3967" s="17"/>
      <c r="K3967" s="17"/>
      <c r="L3967" s="17"/>
      <c r="M3967" s="18"/>
    </row>
    <row r="3968" spans="1:13" x14ac:dyDescent="0.35">
      <c r="A3968" s="81"/>
      <c r="B3968" s="17"/>
      <c r="C3968" s="17"/>
      <c r="D3968" s="17"/>
      <c r="E3968" s="17"/>
      <c r="F3968" s="17"/>
      <c r="G3968" s="17"/>
      <c r="H3968" s="17"/>
      <c r="I3968" s="17"/>
      <c r="J3968" s="17"/>
      <c r="K3968" s="17"/>
      <c r="L3968" s="17"/>
      <c r="M3968" s="18"/>
    </row>
    <row r="3969" spans="1:13" x14ac:dyDescent="0.35">
      <c r="A3969" s="81"/>
      <c r="B3969" s="17"/>
      <c r="C3969" s="17"/>
      <c r="D3969" s="17"/>
      <c r="E3969" s="17"/>
      <c r="F3969" s="17"/>
      <c r="G3969" s="17"/>
      <c r="H3969" s="17"/>
      <c r="I3969" s="17"/>
      <c r="J3969" s="17"/>
      <c r="K3969" s="17"/>
      <c r="L3969" s="17"/>
      <c r="M3969" s="18"/>
    </row>
    <row r="3970" spans="1:13" x14ac:dyDescent="0.35">
      <c r="A3970" s="82"/>
      <c r="B3970" s="19"/>
      <c r="C3970" s="19"/>
      <c r="D3970" s="19"/>
      <c r="E3970" s="19"/>
      <c r="F3970" s="19"/>
      <c r="G3970" s="19"/>
      <c r="H3970" s="19"/>
      <c r="I3970" s="19"/>
      <c r="J3970" s="19"/>
      <c r="K3970" s="19"/>
      <c r="L3970" s="19"/>
      <c r="M3970" s="20"/>
    </row>
    <row r="3971" spans="1:13" x14ac:dyDescent="0.35">
      <c r="A3971" s="82"/>
      <c r="B3971" s="19"/>
      <c r="C3971" s="19"/>
      <c r="D3971" s="19"/>
      <c r="E3971" s="19"/>
      <c r="F3971" s="19"/>
      <c r="G3971" s="19"/>
      <c r="H3971" s="19"/>
      <c r="I3971" s="19"/>
      <c r="J3971" s="19"/>
      <c r="K3971" s="19"/>
      <c r="L3971" s="19"/>
      <c r="M3971" s="20"/>
    </row>
    <row r="3972" spans="1:13" x14ac:dyDescent="0.35">
      <c r="A3972" s="81"/>
      <c r="B3972" s="17"/>
      <c r="C3972" s="17"/>
      <c r="D3972" s="17"/>
      <c r="E3972" s="17"/>
      <c r="F3972" s="17"/>
      <c r="G3972" s="17"/>
      <c r="H3972" s="17"/>
      <c r="I3972" s="17"/>
      <c r="J3972" s="17"/>
      <c r="K3972" s="17"/>
      <c r="L3972" s="17"/>
      <c r="M3972" s="18"/>
    </row>
    <row r="3973" spans="1:13" x14ac:dyDescent="0.35">
      <c r="A3973" s="82"/>
      <c r="B3973" s="19"/>
      <c r="C3973" s="19"/>
      <c r="D3973" s="19"/>
      <c r="E3973" s="19"/>
      <c r="F3973" s="19"/>
      <c r="G3973" s="19"/>
      <c r="H3973" s="19"/>
      <c r="I3973" s="19"/>
      <c r="J3973" s="19"/>
      <c r="K3973" s="19"/>
      <c r="L3973" s="19"/>
      <c r="M3973" s="20"/>
    </row>
    <row r="3974" spans="1:13" x14ac:dyDescent="0.35">
      <c r="A3974" s="82"/>
      <c r="B3974" s="19"/>
      <c r="C3974" s="19"/>
      <c r="D3974" s="19"/>
      <c r="E3974" s="19"/>
      <c r="F3974" s="19"/>
      <c r="G3974" s="19"/>
      <c r="H3974" s="19"/>
      <c r="I3974" s="19"/>
      <c r="J3974" s="19"/>
      <c r="K3974" s="19"/>
      <c r="L3974" s="19"/>
      <c r="M3974" s="20"/>
    </row>
    <row r="3975" spans="1:13" x14ac:dyDescent="0.35">
      <c r="A3975" s="82"/>
      <c r="B3975" s="19"/>
      <c r="C3975" s="19"/>
      <c r="D3975" s="19"/>
      <c r="E3975" s="19"/>
      <c r="F3975" s="19"/>
      <c r="G3975" s="19"/>
      <c r="H3975" s="19"/>
      <c r="I3975" s="19"/>
      <c r="J3975" s="19"/>
      <c r="K3975" s="19"/>
      <c r="L3975" s="19"/>
      <c r="M3975" s="20"/>
    </row>
    <row r="3976" spans="1:13" x14ac:dyDescent="0.35">
      <c r="A3976" s="82"/>
      <c r="B3976" s="19"/>
      <c r="C3976" s="19"/>
      <c r="D3976" s="19"/>
      <c r="E3976" s="19"/>
      <c r="F3976" s="19"/>
      <c r="G3976" s="19"/>
      <c r="H3976" s="19"/>
      <c r="I3976" s="19"/>
      <c r="J3976" s="19"/>
      <c r="K3976" s="19"/>
      <c r="L3976" s="19"/>
      <c r="M3976" s="20"/>
    </row>
    <row r="3977" spans="1:13" x14ac:dyDescent="0.35">
      <c r="A3977" s="82"/>
      <c r="B3977" s="19"/>
      <c r="C3977" s="19"/>
      <c r="D3977" s="19"/>
      <c r="E3977" s="19"/>
      <c r="F3977" s="19"/>
      <c r="G3977" s="19"/>
      <c r="H3977" s="19"/>
      <c r="I3977" s="19"/>
      <c r="J3977" s="19"/>
      <c r="K3977" s="19"/>
      <c r="L3977" s="19"/>
      <c r="M3977" s="20"/>
    </row>
    <row r="3978" spans="1:13" x14ac:dyDescent="0.35">
      <c r="A3978" s="82"/>
      <c r="B3978" s="19"/>
      <c r="C3978" s="19"/>
      <c r="D3978" s="19"/>
      <c r="E3978" s="19"/>
      <c r="F3978" s="19"/>
      <c r="G3978" s="19"/>
      <c r="H3978" s="19"/>
      <c r="I3978" s="19"/>
      <c r="J3978" s="19"/>
      <c r="K3978" s="19"/>
      <c r="L3978" s="19"/>
      <c r="M3978" s="20"/>
    </row>
    <row r="3979" spans="1:13" x14ac:dyDescent="0.35">
      <c r="A3979" s="82"/>
      <c r="B3979" s="19"/>
      <c r="C3979" s="19"/>
      <c r="D3979" s="19"/>
      <c r="E3979" s="19"/>
      <c r="F3979" s="19"/>
      <c r="G3979" s="19"/>
      <c r="H3979" s="19"/>
      <c r="I3979" s="19"/>
      <c r="J3979" s="19"/>
      <c r="K3979" s="19"/>
      <c r="L3979" s="19"/>
      <c r="M3979" s="20"/>
    </row>
    <row r="3980" spans="1:13" x14ac:dyDescent="0.35">
      <c r="A3980" s="82"/>
      <c r="B3980" s="19"/>
      <c r="C3980" s="19"/>
      <c r="D3980" s="19"/>
      <c r="E3980" s="19"/>
      <c r="F3980" s="19"/>
      <c r="G3980" s="19"/>
      <c r="H3980" s="19"/>
      <c r="I3980" s="19"/>
      <c r="J3980" s="19"/>
      <c r="K3980" s="19"/>
      <c r="L3980" s="19"/>
      <c r="M3980" s="20"/>
    </row>
    <row r="3981" spans="1:13" x14ac:dyDescent="0.35">
      <c r="A3981" s="82"/>
      <c r="B3981" s="19"/>
      <c r="C3981" s="19"/>
      <c r="D3981" s="19"/>
      <c r="E3981" s="19"/>
      <c r="F3981" s="19"/>
      <c r="G3981" s="19"/>
      <c r="H3981" s="19"/>
      <c r="I3981" s="19"/>
      <c r="J3981" s="19"/>
      <c r="K3981" s="19"/>
      <c r="L3981" s="19"/>
      <c r="M3981" s="20"/>
    </row>
    <row r="3982" spans="1:13" x14ac:dyDescent="0.35">
      <c r="A3982" s="81"/>
      <c r="B3982" s="17"/>
      <c r="C3982" s="17"/>
      <c r="D3982" s="17"/>
      <c r="E3982" s="17"/>
      <c r="F3982" s="17"/>
      <c r="G3982" s="17"/>
      <c r="H3982" s="17"/>
      <c r="I3982" s="17"/>
      <c r="J3982" s="17"/>
      <c r="K3982" s="17"/>
      <c r="L3982" s="17"/>
      <c r="M3982" s="18"/>
    </row>
    <row r="3983" spans="1:13" x14ac:dyDescent="0.35">
      <c r="A3983" s="82"/>
      <c r="B3983" s="19"/>
      <c r="C3983" s="19"/>
      <c r="D3983" s="19"/>
      <c r="E3983" s="19"/>
      <c r="F3983" s="19"/>
      <c r="G3983" s="19"/>
      <c r="H3983" s="19"/>
      <c r="I3983" s="19"/>
      <c r="J3983" s="19"/>
      <c r="K3983" s="19"/>
      <c r="L3983" s="19"/>
      <c r="M3983" s="20"/>
    </row>
    <row r="3984" spans="1:13" x14ac:dyDescent="0.35">
      <c r="A3984" s="81"/>
      <c r="B3984" s="17"/>
      <c r="C3984" s="17"/>
      <c r="D3984" s="17"/>
      <c r="E3984" s="17"/>
      <c r="F3984" s="17"/>
      <c r="G3984" s="17"/>
      <c r="H3984" s="17"/>
      <c r="I3984" s="17"/>
      <c r="J3984" s="17"/>
      <c r="K3984" s="17"/>
      <c r="L3984" s="17"/>
      <c r="M3984" s="18"/>
    </row>
    <row r="3985" spans="1:13" x14ac:dyDescent="0.35">
      <c r="A3985" s="82"/>
      <c r="B3985" s="19"/>
      <c r="C3985" s="19"/>
      <c r="D3985" s="19"/>
      <c r="E3985" s="19"/>
      <c r="F3985" s="19"/>
      <c r="G3985" s="19"/>
      <c r="H3985" s="19"/>
      <c r="I3985" s="19"/>
      <c r="J3985" s="19"/>
      <c r="K3985" s="19"/>
      <c r="L3985" s="19"/>
      <c r="M3985" s="20"/>
    </row>
    <row r="3986" spans="1:13" x14ac:dyDescent="0.35">
      <c r="A3986" s="81"/>
      <c r="B3986" s="17"/>
      <c r="C3986" s="17"/>
      <c r="D3986" s="17"/>
      <c r="E3986" s="17"/>
      <c r="F3986" s="17"/>
      <c r="G3986" s="17"/>
      <c r="H3986" s="17"/>
      <c r="I3986" s="17"/>
      <c r="J3986" s="17"/>
      <c r="K3986" s="17"/>
      <c r="L3986" s="17"/>
      <c r="M3986" s="18"/>
    </row>
    <row r="3987" spans="1:13" x14ac:dyDescent="0.35">
      <c r="A3987" s="82"/>
      <c r="B3987" s="19"/>
      <c r="C3987" s="19"/>
      <c r="D3987" s="19"/>
      <c r="E3987" s="19"/>
      <c r="F3987" s="19"/>
      <c r="G3987" s="19"/>
      <c r="H3987" s="19"/>
      <c r="I3987" s="19"/>
      <c r="J3987" s="19"/>
      <c r="K3987" s="19"/>
      <c r="L3987" s="19"/>
      <c r="M3987" s="20"/>
    </row>
    <row r="3988" spans="1:13" x14ac:dyDescent="0.35">
      <c r="A3988" s="82"/>
      <c r="B3988" s="19"/>
      <c r="C3988" s="19"/>
      <c r="D3988" s="19"/>
      <c r="E3988" s="19"/>
      <c r="F3988" s="19"/>
      <c r="G3988" s="19"/>
      <c r="H3988" s="19"/>
      <c r="I3988" s="19"/>
      <c r="J3988" s="19"/>
      <c r="K3988" s="19"/>
      <c r="L3988" s="19"/>
      <c r="M3988" s="20"/>
    </row>
    <row r="3989" spans="1:13" x14ac:dyDescent="0.35">
      <c r="A3989" s="81"/>
      <c r="B3989" s="17"/>
      <c r="C3989" s="17"/>
      <c r="D3989" s="17"/>
      <c r="E3989" s="17"/>
      <c r="F3989" s="17"/>
      <c r="G3989" s="17"/>
      <c r="H3989" s="17"/>
      <c r="I3989" s="17"/>
      <c r="J3989" s="17"/>
      <c r="K3989" s="17"/>
      <c r="L3989" s="17"/>
      <c r="M3989" s="18"/>
    </row>
    <row r="3990" spans="1:13" x14ac:dyDescent="0.35">
      <c r="A3990" s="82"/>
      <c r="B3990" s="19"/>
      <c r="C3990" s="19"/>
      <c r="D3990" s="19"/>
      <c r="E3990" s="19"/>
      <c r="F3990" s="19"/>
      <c r="G3990" s="19"/>
      <c r="H3990" s="19"/>
      <c r="I3990" s="19"/>
      <c r="J3990" s="19"/>
      <c r="K3990" s="19"/>
      <c r="L3990" s="19"/>
      <c r="M3990" s="20"/>
    </row>
    <row r="3991" spans="1:13" x14ac:dyDescent="0.35">
      <c r="A3991" s="82"/>
      <c r="B3991" s="19"/>
      <c r="C3991" s="19"/>
      <c r="D3991" s="19"/>
      <c r="E3991" s="19"/>
      <c r="F3991" s="19"/>
      <c r="G3991" s="19"/>
      <c r="H3991" s="19"/>
      <c r="I3991" s="19"/>
      <c r="J3991" s="19"/>
      <c r="K3991" s="19"/>
      <c r="L3991" s="19"/>
      <c r="M3991" s="20"/>
    </row>
    <row r="3992" spans="1:13" x14ac:dyDescent="0.35">
      <c r="A3992" s="82"/>
      <c r="B3992" s="19"/>
      <c r="C3992" s="19"/>
      <c r="D3992" s="19"/>
      <c r="E3992" s="19"/>
      <c r="F3992" s="19"/>
      <c r="G3992" s="19"/>
      <c r="H3992" s="19"/>
      <c r="I3992" s="19"/>
      <c r="J3992" s="19"/>
      <c r="K3992" s="19"/>
      <c r="L3992" s="19"/>
      <c r="M3992" s="20"/>
    </row>
    <row r="3993" spans="1:13" x14ac:dyDescent="0.35">
      <c r="A3993" s="82"/>
      <c r="B3993" s="19"/>
      <c r="C3993" s="19"/>
      <c r="D3993" s="19"/>
      <c r="E3993" s="19"/>
      <c r="F3993" s="19"/>
      <c r="G3993" s="19"/>
      <c r="H3993" s="19"/>
      <c r="I3993" s="19"/>
      <c r="J3993" s="19"/>
      <c r="K3993" s="19"/>
      <c r="L3993" s="19"/>
      <c r="M3993" s="20"/>
    </row>
    <row r="3994" spans="1:13" x14ac:dyDescent="0.35">
      <c r="A3994" s="82"/>
      <c r="B3994" s="19"/>
      <c r="C3994" s="19"/>
      <c r="D3994" s="19"/>
      <c r="E3994" s="19"/>
      <c r="F3994" s="19"/>
      <c r="G3994" s="19"/>
      <c r="H3994" s="19"/>
      <c r="I3994" s="19"/>
      <c r="J3994" s="19"/>
      <c r="K3994" s="19"/>
      <c r="L3994" s="19"/>
      <c r="M3994" s="20"/>
    </row>
    <row r="3995" spans="1:13" x14ac:dyDescent="0.35">
      <c r="A3995" s="82"/>
      <c r="B3995" s="19"/>
      <c r="C3995" s="19"/>
      <c r="D3995" s="19"/>
      <c r="E3995" s="19"/>
      <c r="F3995" s="19"/>
      <c r="G3995" s="19"/>
      <c r="H3995" s="19"/>
      <c r="I3995" s="19"/>
      <c r="J3995" s="19"/>
      <c r="K3995" s="19"/>
      <c r="L3995" s="19"/>
      <c r="M3995" s="20"/>
    </row>
    <row r="3996" spans="1:13" x14ac:dyDescent="0.35">
      <c r="A3996" s="82"/>
      <c r="B3996" s="19"/>
      <c r="C3996" s="19"/>
      <c r="D3996" s="19"/>
      <c r="E3996" s="19"/>
      <c r="F3996" s="19"/>
      <c r="G3996" s="19"/>
      <c r="H3996" s="19"/>
      <c r="I3996" s="19"/>
      <c r="J3996" s="19"/>
      <c r="K3996" s="19"/>
      <c r="L3996" s="19"/>
      <c r="M3996" s="20"/>
    </row>
    <row r="3997" spans="1:13" x14ac:dyDescent="0.35">
      <c r="A3997" s="82"/>
      <c r="B3997" s="19"/>
      <c r="C3997" s="19"/>
      <c r="D3997" s="19"/>
      <c r="E3997" s="19"/>
      <c r="F3997" s="19"/>
      <c r="G3997" s="19"/>
      <c r="H3997" s="19"/>
      <c r="I3997" s="19"/>
      <c r="J3997" s="19"/>
      <c r="K3997" s="19"/>
      <c r="L3997" s="19"/>
      <c r="M3997" s="20"/>
    </row>
    <row r="3998" spans="1:13" x14ac:dyDescent="0.35">
      <c r="A3998" s="81"/>
      <c r="B3998" s="17"/>
      <c r="C3998" s="17"/>
      <c r="D3998" s="17"/>
      <c r="E3998" s="17"/>
      <c r="F3998" s="17"/>
      <c r="G3998" s="17"/>
      <c r="H3998" s="17"/>
      <c r="I3998" s="17"/>
      <c r="J3998" s="17"/>
      <c r="K3998" s="17"/>
      <c r="L3998" s="17"/>
      <c r="M3998" s="20"/>
    </row>
    <row r="3999" spans="1:13" x14ac:dyDescent="0.35">
      <c r="A3999" s="82"/>
      <c r="B3999" s="19"/>
      <c r="C3999" s="19"/>
      <c r="D3999" s="19"/>
      <c r="E3999" s="19"/>
      <c r="F3999" s="19"/>
      <c r="G3999" s="19"/>
      <c r="H3999" s="19"/>
      <c r="I3999" s="19"/>
      <c r="J3999" s="19"/>
      <c r="K3999" s="19"/>
      <c r="L3999" s="19"/>
      <c r="M3999" s="20"/>
    </row>
    <row r="4000" spans="1:13" x14ac:dyDescent="0.35">
      <c r="A4000" s="82"/>
      <c r="B4000" s="19"/>
      <c r="C4000" s="19"/>
      <c r="D4000" s="19"/>
      <c r="E4000" s="19"/>
      <c r="F4000" s="19"/>
      <c r="G4000" s="19"/>
      <c r="H4000" s="19"/>
      <c r="I4000" s="19"/>
      <c r="J4000" s="19"/>
      <c r="K4000" s="19"/>
      <c r="L4000" s="19"/>
      <c r="M4000" s="20"/>
    </row>
    <row r="4001" spans="1:13" x14ac:dyDescent="0.35">
      <c r="A4001" s="81"/>
      <c r="B4001" s="17"/>
      <c r="C4001" s="17"/>
      <c r="D4001" s="17"/>
      <c r="E4001" s="17"/>
      <c r="F4001" s="17"/>
      <c r="G4001" s="17"/>
      <c r="H4001" s="17"/>
      <c r="I4001" s="17"/>
      <c r="J4001" s="17"/>
      <c r="K4001" s="17"/>
      <c r="L4001" s="17"/>
      <c r="M4001" s="20"/>
    </row>
    <row r="4002" spans="1:13" x14ac:dyDescent="0.35">
      <c r="A4002" s="82"/>
      <c r="B4002" s="19"/>
      <c r="C4002" s="19"/>
      <c r="D4002" s="19"/>
      <c r="E4002" s="19"/>
      <c r="F4002" s="19"/>
      <c r="G4002" s="19"/>
      <c r="H4002" s="19"/>
      <c r="I4002" s="19"/>
      <c r="J4002" s="19"/>
      <c r="K4002" s="19"/>
      <c r="L4002" s="19"/>
      <c r="M4002" s="20"/>
    </row>
    <row r="4003" spans="1:13" x14ac:dyDescent="0.35">
      <c r="A4003" s="82"/>
      <c r="B4003" s="19"/>
      <c r="C4003" s="19"/>
      <c r="D4003" s="19"/>
      <c r="E4003" s="19"/>
      <c r="F4003" s="19"/>
      <c r="G4003" s="19"/>
      <c r="H4003" s="19"/>
      <c r="I4003" s="19"/>
      <c r="J4003" s="19"/>
      <c r="K4003" s="19"/>
      <c r="L4003" s="19"/>
      <c r="M4003" s="20"/>
    </row>
    <row r="4004" spans="1:13" x14ac:dyDescent="0.35">
      <c r="A4004" s="81"/>
      <c r="B4004" s="17"/>
      <c r="C4004" s="17"/>
      <c r="D4004" s="17"/>
      <c r="E4004" s="17"/>
      <c r="F4004" s="17"/>
      <c r="G4004" s="17"/>
      <c r="H4004" s="17"/>
      <c r="I4004" s="17"/>
      <c r="J4004" s="17"/>
      <c r="K4004" s="17"/>
      <c r="L4004" s="17"/>
      <c r="M4004" s="20"/>
    </row>
    <row r="4005" spans="1:13" x14ac:dyDescent="0.35">
      <c r="A4005" s="82"/>
      <c r="B4005" s="19"/>
      <c r="C4005" s="19"/>
      <c r="D4005" s="19"/>
      <c r="E4005" s="19"/>
      <c r="F4005" s="19"/>
      <c r="G4005" s="19"/>
      <c r="H4005" s="19"/>
      <c r="I4005" s="19"/>
      <c r="J4005" s="19"/>
      <c r="K4005" s="19"/>
      <c r="L4005" s="19"/>
      <c r="M4005" s="20"/>
    </row>
    <row r="4006" spans="1:13" x14ac:dyDescent="0.35">
      <c r="A4006" s="82"/>
      <c r="B4006" s="19"/>
      <c r="C4006" s="19"/>
      <c r="D4006" s="19"/>
      <c r="E4006" s="19"/>
      <c r="F4006" s="19"/>
      <c r="G4006" s="19"/>
      <c r="H4006" s="19"/>
      <c r="I4006" s="19"/>
      <c r="J4006" s="19"/>
      <c r="K4006" s="19"/>
      <c r="L4006" s="19"/>
      <c r="M4006" s="20"/>
    </row>
    <row r="4007" spans="1:13" x14ac:dyDescent="0.35">
      <c r="A4007" s="81"/>
      <c r="B4007" s="17"/>
      <c r="C4007" s="17"/>
      <c r="D4007" s="17"/>
      <c r="E4007" s="17"/>
      <c r="F4007" s="17"/>
      <c r="G4007" s="17"/>
      <c r="H4007" s="17"/>
      <c r="I4007" s="17"/>
      <c r="J4007" s="17"/>
      <c r="K4007" s="17"/>
      <c r="L4007" s="17"/>
      <c r="M4007" s="20"/>
    </row>
    <row r="4008" spans="1:13" x14ac:dyDescent="0.35">
      <c r="A4008" s="81"/>
      <c r="B4008" s="17"/>
      <c r="C4008" s="17"/>
      <c r="D4008" s="17"/>
      <c r="E4008" s="17"/>
      <c r="F4008" s="17"/>
      <c r="G4008" s="17"/>
      <c r="H4008" s="17"/>
      <c r="I4008" s="17"/>
      <c r="J4008" s="17"/>
      <c r="K4008" s="17"/>
      <c r="L4008" s="17"/>
      <c r="M4008" s="20"/>
    </row>
    <row r="4009" spans="1:13" x14ac:dyDescent="0.35">
      <c r="A4009" s="82"/>
      <c r="B4009" s="19"/>
      <c r="C4009" s="19"/>
      <c r="D4009" s="19"/>
      <c r="E4009" s="19"/>
      <c r="F4009" s="19"/>
      <c r="G4009" s="19"/>
      <c r="H4009" s="19"/>
      <c r="I4009" s="19"/>
      <c r="J4009" s="19"/>
      <c r="K4009" s="19"/>
      <c r="L4009" s="19"/>
      <c r="M4009" s="20"/>
    </row>
    <row r="4010" spans="1:13" x14ac:dyDescent="0.35">
      <c r="A4010" s="82"/>
      <c r="B4010" s="19"/>
      <c r="C4010" s="19"/>
      <c r="D4010" s="19"/>
      <c r="E4010" s="19"/>
      <c r="F4010" s="19"/>
      <c r="G4010" s="19"/>
      <c r="H4010" s="19"/>
      <c r="I4010" s="19"/>
      <c r="J4010" s="19"/>
      <c r="K4010" s="19"/>
      <c r="L4010" s="19"/>
      <c r="M4010" s="20"/>
    </row>
    <row r="4011" spans="1:13" x14ac:dyDescent="0.35">
      <c r="A4011" s="82"/>
      <c r="B4011" s="19"/>
      <c r="C4011" s="19"/>
      <c r="D4011" s="19"/>
      <c r="E4011" s="19"/>
      <c r="F4011" s="19"/>
      <c r="G4011" s="19"/>
      <c r="H4011" s="19"/>
      <c r="I4011" s="19"/>
      <c r="J4011" s="19"/>
      <c r="K4011" s="19"/>
      <c r="L4011" s="19"/>
      <c r="M4011" s="20"/>
    </row>
    <row r="4012" spans="1:13" x14ac:dyDescent="0.35">
      <c r="A4012" s="82"/>
      <c r="B4012" s="19"/>
      <c r="C4012" s="19"/>
      <c r="D4012" s="19"/>
      <c r="E4012" s="19"/>
      <c r="F4012" s="19"/>
      <c r="G4012" s="19"/>
      <c r="H4012" s="19"/>
      <c r="I4012" s="19"/>
      <c r="J4012" s="19"/>
      <c r="K4012" s="19"/>
      <c r="L4012" s="19"/>
      <c r="M4012" s="20"/>
    </row>
    <row r="4013" spans="1:13" x14ac:dyDescent="0.35">
      <c r="A4013" s="82"/>
      <c r="B4013" s="19"/>
      <c r="C4013" s="19"/>
      <c r="D4013" s="19"/>
      <c r="E4013" s="19"/>
      <c r="F4013" s="19"/>
      <c r="G4013" s="19"/>
      <c r="H4013" s="19"/>
      <c r="I4013" s="19"/>
      <c r="J4013" s="19"/>
      <c r="K4013" s="19"/>
      <c r="L4013" s="19"/>
      <c r="M4013" s="20"/>
    </row>
    <row r="4014" spans="1:13" x14ac:dyDescent="0.35">
      <c r="A4014" s="82"/>
      <c r="B4014" s="19"/>
      <c r="C4014" s="19"/>
      <c r="D4014" s="19"/>
      <c r="E4014" s="19"/>
      <c r="F4014" s="19"/>
      <c r="G4014" s="19"/>
      <c r="H4014" s="19"/>
      <c r="I4014" s="19"/>
      <c r="J4014" s="19"/>
      <c r="K4014" s="19"/>
      <c r="L4014" s="19"/>
      <c r="M4014" s="20"/>
    </row>
    <row r="4015" spans="1:13" x14ac:dyDescent="0.35">
      <c r="A4015" s="82"/>
      <c r="B4015" s="19"/>
      <c r="C4015" s="19"/>
      <c r="D4015" s="19"/>
      <c r="E4015" s="19"/>
      <c r="F4015" s="19"/>
      <c r="G4015" s="19"/>
      <c r="H4015" s="19"/>
      <c r="I4015" s="19"/>
      <c r="J4015" s="19"/>
      <c r="K4015" s="19"/>
      <c r="L4015" s="19"/>
      <c r="M4015" s="20"/>
    </row>
    <row r="4016" spans="1:13" x14ac:dyDescent="0.35">
      <c r="A4016" s="81"/>
      <c r="B4016" s="17"/>
      <c r="C4016" s="17"/>
      <c r="D4016" s="17"/>
      <c r="E4016" s="17"/>
      <c r="F4016" s="17"/>
      <c r="G4016" s="17"/>
      <c r="H4016" s="17"/>
      <c r="I4016" s="17"/>
      <c r="J4016" s="17"/>
      <c r="K4016" s="17"/>
      <c r="L4016" s="17"/>
      <c r="M4016" s="18"/>
    </row>
    <row r="4017" spans="1:13" x14ac:dyDescent="0.35">
      <c r="A4017" s="81"/>
      <c r="B4017" s="17"/>
      <c r="C4017" s="17"/>
      <c r="D4017" s="17"/>
      <c r="E4017" s="17"/>
      <c r="F4017" s="17"/>
      <c r="G4017" s="17"/>
      <c r="H4017" s="17"/>
      <c r="I4017" s="17"/>
      <c r="J4017" s="17"/>
      <c r="K4017" s="17"/>
      <c r="L4017" s="17"/>
      <c r="M4017" s="18"/>
    </row>
    <row r="4018" spans="1:13" x14ac:dyDescent="0.35">
      <c r="A4018" s="81"/>
      <c r="B4018" s="17"/>
      <c r="C4018" s="17"/>
      <c r="D4018" s="17"/>
      <c r="E4018" s="17"/>
      <c r="F4018" s="17"/>
      <c r="G4018" s="17"/>
      <c r="H4018" s="17"/>
      <c r="I4018" s="17"/>
      <c r="J4018" s="17"/>
      <c r="K4018" s="17"/>
      <c r="L4018" s="17"/>
      <c r="M4018" s="18"/>
    </row>
    <row r="4019" spans="1:13" x14ac:dyDescent="0.35">
      <c r="A4019" s="82"/>
      <c r="B4019" s="19"/>
      <c r="C4019" s="19"/>
      <c r="D4019" s="19"/>
      <c r="E4019" s="19"/>
      <c r="F4019" s="19"/>
      <c r="G4019" s="19"/>
      <c r="H4019" s="19"/>
      <c r="I4019" s="19"/>
      <c r="J4019" s="19"/>
      <c r="K4019" s="19"/>
      <c r="L4019" s="19"/>
      <c r="M4019" s="20"/>
    </row>
    <row r="4020" spans="1:13" x14ac:dyDescent="0.35">
      <c r="A4020" s="82"/>
      <c r="B4020" s="19"/>
      <c r="C4020" s="19"/>
      <c r="D4020" s="19"/>
      <c r="E4020" s="19"/>
      <c r="F4020" s="19"/>
      <c r="G4020" s="19"/>
      <c r="H4020" s="19"/>
      <c r="I4020" s="19"/>
      <c r="J4020" s="19"/>
      <c r="K4020" s="19"/>
      <c r="L4020" s="19"/>
      <c r="M4020" s="20"/>
    </row>
    <row r="4021" spans="1:13" x14ac:dyDescent="0.35">
      <c r="A4021" s="81"/>
      <c r="B4021" s="17"/>
      <c r="C4021" s="17"/>
      <c r="D4021" s="17"/>
      <c r="E4021" s="17"/>
      <c r="F4021" s="17"/>
      <c r="G4021" s="17"/>
      <c r="H4021" s="17"/>
      <c r="I4021" s="17"/>
      <c r="J4021" s="17"/>
      <c r="K4021" s="17"/>
      <c r="L4021" s="17"/>
      <c r="M4021" s="18"/>
    </row>
    <row r="4022" spans="1:13" x14ac:dyDescent="0.35">
      <c r="A4022" s="82"/>
      <c r="B4022" s="19"/>
      <c r="C4022" s="19"/>
      <c r="D4022" s="19"/>
      <c r="E4022" s="19"/>
      <c r="F4022" s="19"/>
      <c r="G4022" s="19"/>
      <c r="H4022" s="19"/>
      <c r="I4022" s="19"/>
      <c r="J4022" s="19"/>
      <c r="K4022" s="19"/>
      <c r="L4022" s="19"/>
      <c r="M4022" s="20"/>
    </row>
    <row r="4023" spans="1:13" x14ac:dyDescent="0.35">
      <c r="A4023" s="81"/>
      <c r="B4023" s="17"/>
      <c r="C4023" s="17"/>
      <c r="D4023" s="17"/>
      <c r="E4023" s="17"/>
      <c r="F4023" s="17"/>
      <c r="G4023" s="17"/>
      <c r="H4023" s="17"/>
      <c r="I4023" s="17"/>
      <c r="J4023" s="17"/>
      <c r="K4023" s="17"/>
      <c r="L4023" s="17"/>
      <c r="M4023" s="18"/>
    </row>
    <row r="4024" spans="1:13" x14ac:dyDescent="0.35">
      <c r="A4024" s="81"/>
      <c r="B4024" s="17"/>
      <c r="C4024" s="17"/>
      <c r="D4024" s="17"/>
      <c r="E4024" s="17"/>
      <c r="F4024" s="17"/>
      <c r="G4024" s="17"/>
      <c r="H4024" s="17"/>
      <c r="I4024" s="17"/>
      <c r="J4024" s="17"/>
      <c r="K4024" s="17"/>
      <c r="L4024" s="17"/>
      <c r="M4024" s="18"/>
    </row>
    <row r="4025" spans="1:13" x14ac:dyDescent="0.35">
      <c r="A4025" s="81"/>
      <c r="B4025" s="17"/>
      <c r="C4025" s="17"/>
      <c r="D4025" s="17"/>
      <c r="E4025" s="17"/>
      <c r="F4025" s="17"/>
      <c r="G4025" s="17"/>
      <c r="H4025" s="17"/>
      <c r="I4025" s="17"/>
      <c r="J4025" s="17"/>
      <c r="K4025" s="17"/>
      <c r="L4025" s="17"/>
      <c r="M4025" s="18"/>
    </row>
    <row r="4026" spans="1:13" x14ac:dyDescent="0.35">
      <c r="A4026" s="82"/>
      <c r="B4026" s="19"/>
      <c r="C4026" s="19"/>
      <c r="D4026" s="19"/>
      <c r="E4026" s="19"/>
      <c r="F4026" s="19"/>
      <c r="G4026" s="19"/>
      <c r="H4026" s="19"/>
      <c r="I4026" s="19"/>
      <c r="J4026" s="19"/>
      <c r="K4026" s="19"/>
      <c r="L4026" s="19"/>
      <c r="M4026" s="20"/>
    </row>
    <row r="4027" spans="1:13" x14ac:dyDescent="0.35">
      <c r="A4027" s="82"/>
      <c r="B4027" s="19"/>
      <c r="C4027" s="19"/>
      <c r="D4027" s="19"/>
      <c r="E4027" s="19"/>
      <c r="F4027" s="19"/>
      <c r="G4027" s="19"/>
      <c r="H4027" s="19"/>
      <c r="I4027" s="19"/>
      <c r="J4027" s="19"/>
      <c r="K4027" s="19"/>
      <c r="L4027" s="19"/>
      <c r="M4027" s="20"/>
    </row>
    <row r="4028" spans="1:13" x14ac:dyDescent="0.35">
      <c r="A4028" s="82"/>
      <c r="B4028" s="19"/>
      <c r="C4028" s="19"/>
      <c r="D4028" s="19"/>
      <c r="E4028" s="19"/>
      <c r="F4028" s="19"/>
      <c r="G4028" s="19"/>
      <c r="H4028" s="19"/>
      <c r="I4028" s="19"/>
      <c r="J4028" s="19"/>
      <c r="K4028" s="19"/>
      <c r="L4028" s="19"/>
      <c r="M4028" s="20"/>
    </row>
    <row r="4029" spans="1:13" x14ac:dyDescent="0.35">
      <c r="A4029" s="81"/>
      <c r="B4029" s="17"/>
      <c r="C4029" s="17"/>
      <c r="D4029" s="17"/>
      <c r="E4029" s="17"/>
      <c r="F4029" s="17"/>
      <c r="G4029" s="17"/>
      <c r="H4029" s="17"/>
      <c r="I4029" s="17"/>
      <c r="J4029" s="17"/>
      <c r="K4029" s="17"/>
      <c r="L4029" s="17"/>
      <c r="M4029" s="18"/>
    </row>
    <row r="4030" spans="1:13" x14ac:dyDescent="0.35">
      <c r="A4030" s="82"/>
      <c r="B4030" s="19"/>
      <c r="C4030" s="19"/>
      <c r="D4030" s="19"/>
      <c r="E4030" s="19"/>
      <c r="F4030" s="19"/>
      <c r="G4030" s="19"/>
      <c r="H4030" s="19"/>
      <c r="I4030" s="19"/>
      <c r="J4030" s="19"/>
      <c r="K4030" s="19"/>
      <c r="L4030" s="19"/>
      <c r="M4030" s="20"/>
    </row>
    <row r="4031" spans="1:13" x14ac:dyDescent="0.35">
      <c r="A4031" s="82"/>
      <c r="B4031" s="19"/>
      <c r="C4031" s="19"/>
      <c r="D4031" s="19"/>
      <c r="E4031" s="19"/>
      <c r="F4031" s="19"/>
      <c r="G4031" s="19"/>
      <c r="H4031" s="19"/>
      <c r="I4031" s="19"/>
      <c r="J4031" s="19"/>
      <c r="K4031" s="19"/>
      <c r="L4031" s="19"/>
      <c r="M4031" s="20"/>
    </row>
    <row r="4032" spans="1:13" x14ac:dyDescent="0.35">
      <c r="A4032" s="82"/>
      <c r="B4032" s="19"/>
      <c r="C4032" s="19"/>
      <c r="D4032" s="19"/>
      <c r="E4032" s="19"/>
      <c r="F4032" s="19"/>
      <c r="G4032" s="19"/>
      <c r="H4032" s="19"/>
      <c r="I4032" s="19"/>
      <c r="J4032" s="19"/>
      <c r="K4032" s="19"/>
      <c r="L4032" s="19"/>
      <c r="M4032" s="20"/>
    </row>
    <row r="4033" spans="1:13" x14ac:dyDescent="0.35">
      <c r="A4033" s="82"/>
      <c r="B4033" s="19"/>
      <c r="C4033" s="19"/>
      <c r="D4033" s="19"/>
      <c r="E4033" s="19"/>
      <c r="F4033" s="19"/>
      <c r="G4033" s="19"/>
      <c r="H4033" s="19"/>
      <c r="I4033" s="19"/>
      <c r="J4033" s="19"/>
      <c r="K4033" s="19"/>
      <c r="L4033" s="19"/>
      <c r="M4033" s="20"/>
    </row>
    <row r="4034" spans="1:13" x14ac:dyDescent="0.35">
      <c r="A4034" s="82"/>
      <c r="B4034" s="19"/>
      <c r="C4034" s="19"/>
      <c r="D4034" s="19"/>
      <c r="E4034" s="19"/>
      <c r="F4034" s="19"/>
      <c r="G4034" s="19"/>
      <c r="H4034" s="19"/>
      <c r="I4034" s="19"/>
      <c r="J4034" s="19"/>
      <c r="K4034" s="19"/>
      <c r="L4034" s="19"/>
      <c r="M4034" s="20"/>
    </row>
    <row r="4035" spans="1:13" x14ac:dyDescent="0.35">
      <c r="A4035" s="82"/>
      <c r="B4035" s="19"/>
      <c r="C4035" s="19"/>
      <c r="D4035" s="19"/>
      <c r="E4035" s="19"/>
      <c r="F4035" s="19"/>
      <c r="G4035" s="19"/>
      <c r="H4035" s="19"/>
      <c r="I4035" s="19"/>
      <c r="J4035" s="19"/>
      <c r="K4035" s="19"/>
      <c r="L4035" s="19"/>
      <c r="M4035" s="20"/>
    </row>
    <row r="4036" spans="1:13" x14ac:dyDescent="0.35">
      <c r="A4036" s="82"/>
      <c r="B4036" s="19"/>
      <c r="C4036" s="19"/>
      <c r="D4036" s="19"/>
      <c r="E4036" s="19"/>
      <c r="F4036" s="19"/>
      <c r="G4036" s="19"/>
      <c r="H4036" s="19"/>
      <c r="I4036" s="19"/>
      <c r="J4036" s="19"/>
      <c r="K4036" s="19"/>
      <c r="L4036" s="19"/>
      <c r="M4036" s="20"/>
    </row>
    <row r="4037" spans="1:13" x14ac:dyDescent="0.35">
      <c r="A4037" s="82"/>
      <c r="B4037" s="19"/>
      <c r="C4037" s="19"/>
      <c r="D4037" s="19"/>
      <c r="E4037" s="19"/>
      <c r="F4037" s="19"/>
      <c r="G4037" s="19"/>
      <c r="H4037" s="19"/>
      <c r="I4037" s="19"/>
      <c r="J4037" s="19"/>
      <c r="K4037" s="19"/>
      <c r="L4037" s="19"/>
      <c r="M4037" s="20"/>
    </row>
    <row r="4038" spans="1:13" x14ac:dyDescent="0.35">
      <c r="A4038" s="82"/>
      <c r="B4038" s="19"/>
      <c r="C4038" s="19"/>
      <c r="D4038" s="19"/>
      <c r="E4038" s="19"/>
      <c r="F4038" s="19"/>
      <c r="G4038" s="19"/>
      <c r="H4038" s="19"/>
      <c r="I4038" s="19"/>
      <c r="J4038" s="19"/>
      <c r="K4038" s="19"/>
      <c r="L4038" s="19"/>
      <c r="M4038" s="20"/>
    </row>
    <row r="4039" spans="1:13" x14ac:dyDescent="0.35">
      <c r="A4039" s="86"/>
      <c r="B4039" s="21"/>
      <c r="C4039" s="21"/>
      <c r="D4039" s="21"/>
      <c r="E4039" s="21"/>
      <c r="F4039" s="21"/>
      <c r="G4039" s="21"/>
      <c r="H4039" s="21"/>
      <c r="I4039" s="21"/>
      <c r="J4039" s="21"/>
      <c r="K4039" s="21"/>
      <c r="L4039" s="21"/>
      <c r="M4039" s="22"/>
    </row>
    <row r="4040" spans="1:13" x14ac:dyDescent="0.35">
      <c r="A4040" s="85"/>
      <c r="B4040" s="23"/>
      <c r="C4040" s="23"/>
      <c r="D4040" s="23"/>
      <c r="E4040" s="23"/>
      <c r="F4040" s="23"/>
      <c r="G4040" s="23"/>
      <c r="H4040" s="23"/>
      <c r="I4040" s="23"/>
      <c r="J4040" s="23"/>
      <c r="K4040" s="23"/>
      <c r="L4040" s="23"/>
      <c r="M4040" s="24"/>
    </row>
    <row r="4041" spans="1:13" x14ac:dyDescent="0.35">
      <c r="A4041" s="85"/>
      <c r="B4041" s="23"/>
      <c r="C4041" s="23"/>
      <c r="D4041" s="23"/>
      <c r="E4041" s="23"/>
      <c r="F4041" s="23"/>
      <c r="G4041" s="23"/>
      <c r="H4041" s="23"/>
      <c r="I4041" s="23"/>
      <c r="J4041" s="23"/>
      <c r="K4041" s="23"/>
      <c r="L4041" s="23"/>
      <c r="M4041" s="24"/>
    </row>
    <row r="4042" spans="1:13" x14ac:dyDescent="0.35">
      <c r="A4042" s="85"/>
      <c r="B4042" s="23"/>
      <c r="C4042" s="23"/>
      <c r="D4042" s="23"/>
      <c r="E4042" s="23"/>
      <c r="F4042" s="23"/>
      <c r="G4042" s="23"/>
      <c r="H4042" s="23"/>
      <c r="I4042" s="23"/>
      <c r="J4042" s="23"/>
      <c r="K4042" s="23"/>
      <c r="L4042" s="23"/>
      <c r="M4042" s="24"/>
    </row>
    <row r="4043" spans="1:13" x14ac:dyDescent="0.35">
      <c r="A4043" s="86"/>
      <c r="B4043" s="21"/>
      <c r="C4043" s="21"/>
      <c r="D4043" s="21"/>
      <c r="E4043" s="21"/>
      <c r="F4043" s="21"/>
      <c r="G4043" s="21"/>
      <c r="H4043" s="21"/>
      <c r="I4043" s="21"/>
      <c r="J4043" s="21"/>
      <c r="K4043" s="21"/>
      <c r="L4043" s="21"/>
      <c r="M4043" s="22"/>
    </row>
    <row r="4044" spans="1:13" x14ac:dyDescent="0.35">
      <c r="A4044" s="85"/>
      <c r="B4044" s="23"/>
      <c r="C4044" s="23"/>
      <c r="D4044" s="23"/>
      <c r="E4044" s="23"/>
      <c r="F4044" s="23"/>
      <c r="G4044" s="23"/>
      <c r="H4044" s="23"/>
      <c r="I4044" s="23"/>
      <c r="J4044" s="23"/>
      <c r="K4044" s="23"/>
      <c r="L4044" s="23"/>
      <c r="M4044" s="24"/>
    </row>
    <row r="4045" spans="1:13" x14ac:dyDescent="0.35">
      <c r="A4045" s="86"/>
      <c r="B4045" s="21"/>
      <c r="C4045" s="21"/>
      <c r="D4045" s="21"/>
      <c r="E4045" s="21"/>
      <c r="F4045" s="21"/>
      <c r="G4045" s="21"/>
      <c r="H4045" s="21"/>
      <c r="I4045" s="21"/>
      <c r="J4045" s="21"/>
      <c r="K4045" s="21"/>
      <c r="L4045" s="21"/>
      <c r="M4045" s="22"/>
    </row>
    <row r="4046" spans="1:13" x14ac:dyDescent="0.35">
      <c r="A4046" s="86"/>
      <c r="B4046" s="21"/>
      <c r="C4046" s="21"/>
      <c r="D4046" s="21"/>
      <c r="E4046" s="21"/>
      <c r="F4046" s="21"/>
      <c r="G4046" s="21"/>
      <c r="H4046" s="21"/>
      <c r="I4046" s="21"/>
      <c r="J4046" s="21"/>
      <c r="K4046" s="21"/>
      <c r="L4046" s="21"/>
      <c r="M4046" s="22"/>
    </row>
    <row r="4047" spans="1:13" x14ac:dyDescent="0.35">
      <c r="A4047" s="85"/>
      <c r="B4047" s="23"/>
      <c r="C4047" s="23"/>
      <c r="D4047" s="23"/>
      <c r="E4047" s="23"/>
      <c r="F4047" s="23"/>
      <c r="G4047" s="23"/>
      <c r="H4047" s="23"/>
      <c r="I4047" s="23"/>
      <c r="J4047" s="23"/>
      <c r="K4047" s="23"/>
      <c r="L4047" s="23"/>
      <c r="M4047" s="24"/>
    </row>
    <row r="4048" spans="1:13" x14ac:dyDescent="0.35">
      <c r="A4048" s="86"/>
      <c r="B4048" s="21"/>
      <c r="C4048" s="21"/>
      <c r="D4048" s="21"/>
      <c r="E4048" s="21"/>
      <c r="F4048" s="21"/>
      <c r="G4048" s="21"/>
      <c r="H4048" s="21"/>
      <c r="I4048" s="21"/>
      <c r="J4048" s="21"/>
      <c r="K4048" s="21"/>
      <c r="L4048" s="21"/>
      <c r="M4048" s="22"/>
    </row>
    <row r="4049" spans="1:13" x14ac:dyDescent="0.35">
      <c r="A4049" s="86"/>
      <c r="B4049" s="21"/>
      <c r="C4049" s="21"/>
      <c r="D4049" s="21"/>
      <c r="E4049" s="21"/>
      <c r="F4049" s="21"/>
      <c r="G4049" s="21"/>
      <c r="H4049" s="21"/>
      <c r="I4049" s="21"/>
      <c r="J4049" s="21"/>
      <c r="K4049" s="21"/>
      <c r="L4049" s="21"/>
      <c r="M4049" s="22"/>
    </row>
    <row r="4050" spans="1:13" x14ac:dyDescent="0.35">
      <c r="A4050" s="85"/>
      <c r="B4050" s="23"/>
      <c r="C4050" s="23"/>
      <c r="D4050" s="23"/>
      <c r="E4050" s="23"/>
      <c r="F4050" s="23"/>
      <c r="G4050" s="23"/>
      <c r="H4050" s="23"/>
      <c r="I4050" s="23"/>
      <c r="J4050" s="23"/>
      <c r="K4050" s="23"/>
      <c r="L4050" s="23"/>
      <c r="M4050" s="24"/>
    </row>
    <row r="4051" spans="1:13" x14ac:dyDescent="0.35">
      <c r="A4051" s="86"/>
      <c r="B4051" s="21"/>
      <c r="C4051" s="21"/>
      <c r="D4051" s="21"/>
      <c r="E4051" s="21"/>
      <c r="F4051" s="21"/>
      <c r="G4051" s="21"/>
      <c r="H4051" s="21"/>
      <c r="I4051" s="21"/>
      <c r="J4051" s="21"/>
      <c r="K4051" s="21"/>
      <c r="L4051" s="21"/>
      <c r="M4051" s="22"/>
    </row>
    <row r="4052" spans="1:13" x14ac:dyDescent="0.35">
      <c r="A4052" s="86"/>
      <c r="B4052" s="21"/>
      <c r="C4052" s="21"/>
      <c r="D4052" s="21"/>
      <c r="E4052" s="21"/>
      <c r="F4052" s="21"/>
      <c r="G4052" s="21"/>
      <c r="H4052" s="21"/>
      <c r="I4052" s="21"/>
      <c r="J4052" s="21"/>
      <c r="K4052" s="21"/>
      <c r="L4052" s="21"/>
      <c r="M4052" s="22"/>
    </row>
    <row r="4053" spans="1:13" x14ac:dyDescent="0.35">
      <c r="A4053" s="86"/>
      <c r="B4053" s="21"/>
      <c r="C4053" s="21"/>
      <c r="D4053" s="21"/>
      <c r="E4053" s="21"/>
      <c r="F4053" s="21"/>
      <c r="G4053" s="21"/>
      <c r="H4053" s="21"/>
      <c r="I4053" s="21"/>
      <c r="J4053" s="21"/>
      <c r="K4053" s="21"/>
      <c r="L4053" s="21"/>
      <c r="M4053" s="22"/>
    </row>
    <row r="4054" spans="1:13" x14ac:dyDescent="0.35">
      <c r="A4054" s="85"/>
      <c r="B4054" s="23"/>
      <c r="C4054" s="23"/>
      <c r="D4054" s="23"/>
      <c r="E4054" s="23"/>
      <c r="F4054" s="23"/>
      <c r="G4054" s="23"/>
      <c r="H4054" s="23"/>
      <c r="I4054" s="23"/>
      <c r="J4054" s="23"/>
      <c r="K4054" s="23"/>
      <c r="L4054" s="23"/>
      <c r="M4054" s="24"/>
    </row>
    <row r="4055" spans="1:13" x14ac:dyDescent="0.35">
      <c r="A4055" s="86"/>
      <c r="B4055" s="21"/>
      <c r="C4055" s="21"/>
      <c r="D4055" s="21"/>
      <c r="E4055" s="21"/>
      <c r="F4055" s="21"/>
      <c r="G4055" s="21"/>
      <c r="H4055" s="21"/>
      <c r="I4055" s="21"/>
      <c r="J4055" s="21"/>
      <c r="K4055" s="21"/>
      <c r="L4055" s="21"/>
      <c r="M4055" s="22"/>
    </row>
    <row r="4056" spans="1:13" x14ac:dyDescent="0.35">
      <c r="A4056" s="85"/>
      <c r="B4056" s="23"/>
      <c r="C4056" s="23"/>
      <c r="D4056" s="23"/>
      <c r="E4056" s="23"/>
      <c r="F4056" s="23"/>
      <c r="G4056" s="23"/>
      <c r="H4056" s="23"/>
      <c r="I4056" s="23"/>
      <c r="J4056" s="23"/>
      <c r="K4056" s="23"/>
      <c r="L4056" s="23"/>
      <c r="M4056" s="24"/>
    </row>
    <row r="4057" spans="1:13" x14ac:dyDescent="0.35">
      <c r="A4057" s="85"/>
      <c r="B4057" s="23"/>
      <c r="C4057" s="23"/>
      <c r="D4057" s="23"/>
      <c r="E4057" s="23"/>
      <c r="F4057" s="23"/>
      <c r="G4057" s="23"/>
      <c r="H4057" s="23"/>
      <c r="I4057" s="23"/>
      <c r="J4057" s="23"/>
      <c r="K4057" s="23"/>
      <c r="L4057" s="23"/>
      <c r="M4057" s="24"/>
    </row>
    <row r="4058" spans="1:13" x14ac:dyDescent="0.35">
      <c r="A4058" s="86"/>
      <c r="B4058" s="21"/>
      <c r="C4058" s="21"/>
      <c r="D4058" s="21"/>
      <c r="E4058" s="21"/>
      <c r="F4058" s="21"/>
      <c r="G4058" s="21"/>
      <c r="H4058" s="21"/>
      <c r="I4058" s="21"/>
      <c r="J4058" s="21"/>
      <c r="K4058" s="21"/>
      <c r="L4058" s="21"/>
      <c r="M4058" s="22"/>
    </row>
    <row r="4059" spans="1:13" x14ac:dyDescent="0.35">
      <c r="A4059" s="85"/>
      <c r="B4059" s="23"/>
      <c r="C4059" s="23"/>
      <c r="D4059" s="23"/>
      <c r="E4059" s="23"/>
      <c r="F4059" s="23"/>
      <c r="G4059" s="23"/>
      <c r="H4059" s="23"/>
      <c r="I4059" s="23"/>
      <c r="J4059" s="23"/>
      <c r="K4059" s="23"/>
      <c r="L4059" s="23"/>
      <c r="M4059" s="24"/>
    </row>
    <row r="4060" spans="1:13" x14ac:dyDescent="0.35">
      <c r="A4060" s="85"/>
      <c r="B4060" s="23"/>
      <c r="C4060" s="23"/>
      <c r="D4060" s="23"/>
      <c r="E4060" s="23"/>
      <c r="F4060" s="23"/>
      <c r="G4060" s="23"/>
      <c r="H4060" s="23"/>
      <c r="I4060" s="23"/>
      <c r="J4060" s="23"/>
      <c r="K4060" s="23"/>
      <c r="L4060" s="23"/>
      <c r="M4060" s="24"/>
    </row>
    <row r="4061" spans="1:13" x14ac:dyDescent="0.35">
      <c r="A4061" s="86"/>
      <c r="B4061" s="21"/>
      <c r="C4061" s="21"/>
      <c r="D4061" s="21"/>
      <c r="E4061" s="21"/>
      <c r="F4061" s="21"/>
      <c r="G4061" s="21"/>
      <c r="H4061" s="21"/>
      <c r="I4061" s="21"/>
      <c r="J4061" s="21"/>
      <c r="K4061" s="21"/>
      <c r="L4061" s="21"/>
      <c r="M4061" s="22"/>
    </row>
    <row r="4062" spans="1:13" x14ac:dyDescent="0.35">
      <c r="A4062" s="86"/>
      <c r="B4062" s="21"/>
      <c r="C4062" s="21"/>
      <c r="D4062" s="21"/>
      <c r="E4062" s="21"/>
      <c r="F4062" s="21"/>
      <c r="G4062" s="21"/>
      <c r="H4062" s="21"/>
      <c r="I4062" s="21"/>
      <c r="J4062" s="21"/>
      <c r="K4062" s="21"/>
      <c r="L4062" s="21"/>
      <c r="M4062" s="22"/>
    </row>
    <row r="4063" spans="1:13" x14ac:dyDescent="0.35">
      <c r="A4063" s="85"/>
      <c r="B4063" s="23"/>
      <c r="C4063" s="23"/>
      <c r="D4063" s="23"/>
      <c r="E4063" s="23"/>
      <c r="F4063" s="23"/>
      <c r="G4063" s="23"/>
      <c r="H4063" s="23"/>
      <c r="I4063" s="23"/>
      <c r="J4063" s="23"/>
      <c r="K4063" s="23"/>
      <c r="L4063" s="23"/>
      <c r="M4063" s="24"/>
    </row>
    <row r="4064" spans="1:13" x14ac:dyDescent="0.35">
      <c r="A4064" s="85"/>
      <c r="B4064" s="23"/>
      <c r="C4064" s="23"/>
      <c r="D4064" s="23"/>
      <c r="E4064" s="23"/>
      <c r="F4064" s="23"/>
      <c r="G4064" s="23"/>
      <c r="H4064" s="23"/>
      <c r="I4064" s="23"/>
      <c r="J4064" s="23"/>
      <c r="K4064" s="23"/>
      <c r="L4064" s="23"/>
      <c r="M4064" s="24"/>
    </row>
    <row r="4065" spans="1:13" x14ac:dyDescent="0.35">
      <c r="A4065" s="86"/>
      <c r="B4065" s="21"/>
      <c r="C4065" s="21"/>
      <c r="D4065" s="21"/>
      <c r="E4065" s="21"/>
      <c r="F4065" s="21"/>
      <c r="G4065" s="21"/>
      <c r="H4065" s="21"/>
      <c r="I4065" s="21"/>
      <c r="J4065" s="21"/>
      <c r="K4065" s="21"/>
      <c r="L4065" s="21"/>
      <c r="M4065" s="22"/>
    </row>
    <row r="4066" spans="1:13" x14ac:dyDescent="0.35">
      <c r="A4066" s="86"/>
      <c r="B4066" s="21"/>
      <c r="C4066" s="21"/>
      <c r="D4066" s="21"/>
      <c r="E4066" s="21"/>
      <c r="F4066" s="21"/>
      <c r="G4066" s="21"/>
      <c r="H4066" s="21"/>
      <c r="I4066" s="21"/>
      <c r="J4066" s="21"/>
      <c r="K4066" s="21"/>
      <c r="L4066" s="21"/>
      <c r="M4066" s="22"/>
    </row>
    <row r="4067" spans="1:13" x14ac:dyDescent="0.35">
      <c r="A4067" s="85"/>
      <c r="B4067" s="23"/>
      <c r="C4067" s="23"/>
      <c r="D4067" s="23"/>
      <c r="E4067" s="23"/>
      <c r="F4067" s="23"/>
      <c r="G4067" s="23"/>
      <c r="H4067" s="23"/>
      <c r="I4067" s="23"/>
      <c r="J4067" s="23"/>
      <c r="K4067" s="23"/>
      <c r="L4067" s="23"/>
      <c r="M4067" s="24"/>
    </row>
    <row r="4068" spans="1:13" x14ac:dyDescent="0.35">
      <c r="A4068" s="85"/>
      <c r="B4068" s="23"/>
      <c r="C4068" s="23"/>
      <c r="D4068" s="23"/>
      <c r="E4068" s="23"/>
      <c r="F4068" s="23"/>
      <c r="G4068" s="23"/>
      <c r="H4068" s="23"/>
      <c r="I4068" s="23"/>
      <c r="J4068" s="23"/>
      <c r="K4068" s="23"/>
      <c r="L4068" s="23"/>
      <c r="M4068" s="24"/>
    </row>
    <row r="4069" spans="1:13" x14ac:dyDescent="0.35">
      <c r="A4069" s="86"/>
      <c r="B4069" s="21"/>
      <c r="C4069" s="21"/>
      <c r="D4069" s="21"/>
      <c r="E4069" s="21"/>
      <c r="F4069" s="21"/>
      <c r="G4069" s="21"/>
      <c r="H4069" s="21"/>
      <c r="I4069" s="21"/>
      <c r="J4069" s="21"/>
      <c r="K4069" s="21"/>
      <c r="L4069" s="21"/>
      <c r="M4069" s="22"/>
    </row>
    <row r="4070" spans="1:13" x14ac:dyDescent="0.35">
      <c r="A4070" s="85"/>
      <c r="B4070" s="23"/>
      <c r="C4070" s="23"/>
      <c r="D4070" s="23"/>
      <c r="E4070" s="23"/>
      <c r="F4070" s="23"/>
      <c r="G4070" s="23"/>
      <c r="H4070" s="23"/>
      <c r="I4070" s="23"/>
      <c r="J4070" s="23"/>
      <c r="K4070" s="23"/>
      <c r="L4070" s="23"/>
      <c r="M4070" s="24"/>
    </row>
    <row r="4071" spans="1:13" x14ac:dyDescent="0.35">
      <c r="A4071" s="85"/>
      <c r="B4071" s="23"/>
      <c r="C4071" s="23"/>
      <c r="D4071" s="23"/>
      <c r="E4071" s="23"/>
      <c r="F4071" s="23"/>
      <c r="G4071" s="23"/>
      <c r="H4071" s="23"/>
      <c r="I4071" s="23"/>
      <c r="J4071" s="23"/>
      <c r="K4071" s="23"/>
      <c r="L4071" s="23"/>
      <c r="M4071" s="24"/>
    </row>
    <row r="4072" spans="1:13" x14ac:dyDescent="0.35">
      <c r="A4072" s="86"/>
      <c r="B4072" s="21"/>
      <c r="C4072" s="21"/>
      <c r="D4072" s="21"/>
      <c r="E4072" s="21"/>
      <c r="F4072" s="21"/>
      <c r="G4072" s="21"/>
      <c r="H4072" s="21"/>
      <c r="I4072" s="21"/>
      <c r="J4072" s="21"/>
      <c r="K4072" s="21"/>
      <c r="L4072" s="21"/>
      <c r="M4072" s="22"/>
    </row>
    <row r="4073" spans="1:13" x14ac:dyDescent="0.35">
      <c r="A4073" s="82"/>
      <c r="B4073" s="19"/>
      <c r="C4073" s="19"/>
      <c r="D4073" s="19"/>
      <c r="E4073" s="19"/>
      <c r="F4073" s="19"/>
      <c r="G4073" s="19"/>
      <c r="H4073" s="19"/>
      <c r="I4073" s="19"/>
      <c r="J4073" s="19"/>
      <c r="K4073" s="19"/>
      <c r="L4073" s="19"/>
      <c r="M4073" s="20"/>
    </row>
    <row r="4074" spans="1:13" x14ac:dyDescent="0.35">
      <c r="A4074" s="82"/>
      <c r="B4074" s="19"/>
      <c r="C4074" s="19"/>
      <c r="D4074" s="19"/>
      <c r="E4074" s="19"/>
      <c r="F4074" s="19"/>
      <c r="G4074" s="19"/>
      <c r="H4074" s="19"/>
      <c r="I4074" s="19"/>
      <c r="J4074" s="19"/>
      <c r="K4074" s="19"/>
      <c r="L4074" s="19"/>
      <c r="M4074" s="20"/>
    </row>
    <row r="4075" spans="1:13" x14ac:dyDescent="0.35">
      <c r="A4075" s="82"/>
      <c r="B4075" s="19"/>
      <c r="C4075" s="19"/>
      <c r="D4075" s="19"/>
      <c r="E4075" s="19"/>
      <c r="F4075" s="19"/>
      <c r="G4075" s="19"/>
      <c r="H4075" s="19"/>
      <c r="I4075" s="19"/>
      <c r="J4075" s="19"/>
      <c r="K4075" s="19"/>
      <c r="L4075" s="19"/>
      <c r="M4075" s="20"/>
    </row>
    <row r="4076" spans="1:13" x14ac:dyDescent="0.35">
      <c r="A4076" s="82"/>
      <c r="B4076" s="19"/>
      <c r="C4076" s="19"/>
      <c r="D4076" s="19"/>
      <c r="E4076" s="19"/>
      <c r="F4076" s="19"/>
      <c r="G4076" s="19"/>
      <c r="H4076" s="19"/>
      <c r="I4076" s="19"/>
      <c r="J4076" s="19"/>
      <c r="K4076" s="19"/>
      <c r="L4076" s="19"/>
      <c r="M4076" s="20"/>
    </row>
    <row r="4077" spans="1:13" x14ac:dyDescent="0.35">
      <c r="A4077" s="82"/>
      <c r="B4077" s="19"/>
      <c r="C4077" s="19"/>
      <c r="D4077" s="19"/>
      <c r="E4077" s="19"/>
      <c r="F4077" s="19"/>
      <c r="G4077" s="19"/>
      <c r="H4077" s="19"/>
      <c r="I4077" s="19"/>
      <c r="J4077" s="19"/>
      <c r="K4077" s="19"/>
      <c r="L4077" s="19"/>
      <c r="M4077" s="20"/>
    </row>
    <row r="4078" spans="1:13" x14ac:dyDescent="0.35">
      <c r="A4078" s="82"/>
      <c r="B4078" s="19"/>
      <c r="C4078" s="19"/>
      <c r="D4078" s="19"/>
      <c r="E4078" s="19"/>
      <c r="F4078" s="19"/>
      <c r="G4078" s="19"/>
      <c r="H4078" s="19"/>
      <c r="I4078" s="19"/>
      <c r="J4078" s="19"/>
      <c r="K4078" s="19"/>
      <c r="L4078" s="19"/>
      <c r="M4078" s="20"/>
    </row>
    <row r="4079" spans="1:13" x14ac:dyDescent="0.35">
      <c r="A4079" s="82"/>
      <c r="B4079" s="19"/>
      <c r="C4079" s="19"/>
      <c r="D4079" s="19"/>
      <c r="E4079" s="19"/>
      <c r="F4079" s="19"/>
      <c r="G4079" s="19"/>
      <c r="H4079" s="19"/>
      <c r="I4079" s="19"/>
      <c r="J4079" s="19"/>
      <c r="K4079" s="19"/>
      <c r="L4079" s="19"/>
      <c r="M4079" s="20"/>
    </row>
    <row r="4080" spans="1:13" x14ac:dyDescent="0.35">
      <c r="A4080" s="85"/>
      <c r="B4080" s="23"/>
      <c r="C4080" s="23"/>
      <c r="D4080" s="23"/>
      <c r="E4080" s="23"/>
      <c r="F4080" s="23"/>
      <c r="G4080" s="23"/>
      <c r="H4080" s="23"/>
      <c r="I4080" s="23"/>
      <c r="J4080" s="23"/>
      <c r="K4080" s="23"/>
      <c r="L4080" s="23"/>
      <c r="M4080" s="24"/>
    </row>
    <row r="4081" spans="1:13" x14ac:dyDescent="0.35">
      <c r="A4081" s="86"/>
      <c r="B4081" s="21"/>
      <c r="C4081" s="21"/>
      <c r="D4081" s="21"/>
      <c r="E4081" s="21"/>
      <c r="F4081" s="21"/>
      <c r="G4081" s="21"/>
      <c r="H4081" s="21"/>
      <c r="I4081" s="21"/>
      <c r="J4081" s="21"/>
      <c r="K4081" s="21"/>
      <c r="L4081" s="21"/>
      <c r="M4081" s="22"/>
    </row>
    <row r="4082" spans="1:13" x14ac:dyDescent="0.35">
      <c r="A4082" s="86"/>
      <c r="B4082" s="21"/>
      <c r="C4082" s="21"/>
      <c r="D4082" s="21"/>
      <c r="E4082" s="21"/>
      <c r="F4082" s="21"/>
      <c r="G4082" s="21"/>
      <c r="H4082" s="21"/>
      <c r="I4082" s="21"/>
      <c r="J4082" s="21"/>
      <c r="K4082" s="21"/>
      <c r="L4082" s="21"/>
      <c r="M4082" s="22"/>
    </row>
    <row r="4083" spans="1:13" x14ac:dyDescent="0.35">
      <c r="A4083" s="86"/>
      <c r="B4083" s="21"/>
      <c r="C4083" s="21"/>
      <c r="D4083" s="21"/>
      <c r="E4083" s="21"/>
      <c r="F4083" s="21"/>
      <c r="G4083" s="21"/>
      <c r="H4083" s="21"/>
      <c r="I4083" s="21"/>
      <c r="J4083" s="21"/>
      <c r="K4083" s="21"/>
      <c r="L4083" s="21"/>
      <c r="M4083" s="22"/>
    </row>
    <row r="4084" spans="1:13" x14ac:dyDescent="0.35">
      <c r="A4084" s="86"/>
      <c r="B4084" s="21"/>
      <c r="C4084" s="21"/>
      <c r="D4084" s="21"/>
      <c r="E4084" s="21"/>
      <c r="F4084" s="21"/>
      <c r="G4084" s="21"/>
      <c r="H4084" s="21"/>
      <c r="I4084" s="21"/>
      <c r="J4084" s="21"/>
      <c r="K4084" s="21"/>
      <c r="L4084" s="21"/>
      <c r="M4084" s="22"/>
    </row>
    <row r="4085" spans="1:13" x14ac:dyDescent="0.35">
      <c r="A4085" s="85"/>
      <c r="B4085" s="23"/>
      <c r="C4085" s="23"/>
      <c r="D4085" s="23"/>
      <c r="E4085" s="23"/>
      <c r="F4085" s="23"/>
      <c r="G4085" s="23"/>
      <c r="H4085" s="23"/>
      <c r="I4085" s="23"/>
      <c r="J4085" s="23"/>
      <c r="K4085" s="23"/>
      <c r="L4085" s="23"/>
      <c r="M4085" s="24"/>
    </row>
    <row r="4086" spans="1:13" x14ac:dyDescent="0.35">
      <c r="A4086" s="86"/>
      <c r="B4086" s="21"/>
      <c r="C4086" s="21"/>
      <c r="D4086" s="21"/>
      <c r="E4086" s="21"/>
      <c r="F4086" s="21"/>
      <c r="G4086" s="21"/>
      <c r="H4086" s="21"/>
      <c r="I4086" s="21"/>
      <c r="J4086" s="21"/>
      <c r="K4086" s="21"/>
      <c r="L4086" s="21"/>
      <c r="M4086" s="22"/>
    </row>
    <row r="4087" spans="1:13" x14ac:dyDescent="0.35">
      <c r="A4087" s="85"/>
      <c r="B4087" s="23"/>
      <c r="C4087" s="23"/>
      <c r="D4087" s="23"/>
      <c r="E4087" s="23"/>
      <c r="F4087" s="23"/>
      <c r="G4087" s="23"/>
      <c r="H4087" s="23"/>
      <c r="I4087" s="23"/>
      <c r="J4087" s="23"/>
      <c r="K4087" s="23"/>
      <c r="L4087" s="23"/>
      <c r="M4087" s="24"/>
    </row>
    <row r="4088" spans="1:13" x14ac:dyDescent="0.35">
      <c r="A4088" s="86"/>
      <c r="B4088" s="21"/>
      <c r="C4088" s="21"/>
      <c r="D4088" s="21"/>
      <c r="E4088" s="21"/>
      <c r="F4088" s="21"/>
      <c r="G4088" s="21"/>
      <c r="H4088" s="21"/>
      <c r="I4088" s="21"/>
      <c r="J4088" s="21"/>
      <c r="K4088" s="21"/>
      <c r="L4088" s="21"/>
      <c r="M4088" s="22"/>
    </row>
    <row r="4089" spans="1:13" x14ac:dyDescent="0.35">
      <c r="A4089" s="86"/>
      <c r="B4089" s="21"/>
      <c r="C4089" s="21"/>
      <c r="D4089" s="21"/>
      <c r="E4089" s="21"/>
      <c r="F4089" s="21"/>
      <c r="G4089" s="21"/>
      <c r="H4089" s="21"/>
      <c r="I4089" s="21"/>
      <c r="J4089" s="21"/>
      <c r="K4089" s="21"/>
      <c r="L4089" s="21"/>
      <c r="M4089" s="22"/>
    </row>
    <row r="4090" spans="1:13" x14ac:dyDescent="0.35">
      <c r="A4090" s="86"/>
      <c r="B4090" s="21"/>
      <c r="C4090" s="21"/>
      <c r="D4090" s="21"/>
      <c r="E4090" s="21"/>
      <c r="F4090" s="21"/>
      <c r="G4090" s="21"/>
      <c r="H4090" s="21"/>
      <c r="I4090" s="21"/>
      <c r="J4090" s="21"/>
      <c r="K4090" s="21"/>
      <c r="L4090" s="21"/>
      <c r="M4090" s="22"/>
    </row>
    <row r="4091" spans="1:13" x14ac:dyDescent="0.35">
      <c r="A4091" s="85"/>
      <c r="B4091" s="23"/>
      <c r="C4091" s="23"/>
      <c r="D4091" s="23"/>
      <c r="E4091" s="23"/>
      <c r="F4091" s="23"/>
      <c r="G4091" s="23"/>
      <c r="H4091" s="23"/>
      <c r="I4091" s="23"/>
      <c r="J4091" s="23"/>
      <c r="K4091" s="23"/>
      <c r="L4091" s="23"/>
      <c r="M4091" s="24"/>
    </row>
    <row r="4092" spans="1:13" x14ac:dyDescent="0.35">
      <c r="A4092" s="86"/>
      <c r="B4092" s="21"/>
      <c r="C4092" s="21"/>
      <c r="D4092" s="21"/>
      <c r="E4092" s="21"/>
      <c r="F4092" s="21"/>
      <c r="G4092" s="21"/>
      <c r="H4092" s="21"/>
      <c r="I4092" s="21"/>
      <c r="J4092" s="21"/>
      <c r="K4092" s="21"/>
      <c r="L4092" s="21"/>
      <c r="M4092" s="22"/>
    </row>
    <row r="4093" spans="1:13" x14ac:dyDescent="0.35">
      <c r="A4093" s="86"/>
      <c r="B4093" s="21"/>
      <c r="C4093" s="21"/>
      <c r="D4093" s="21"/>
      <c r="E4093" s="21"/>
      <c r="F4093" s="21"/>
      <c r="G4093" s="21"/>
      <c r="H4093" s="21"/>
      <c r="I4093" s="21"/>
      <c r="J4093" s="21"/>
      <c r="K4093" s="21"/>
      <c r="L4093" s="21"/>
      <c r="M4093" s="22"/>
    </row>
    <row r="4094" spans="1:13" x14ac:dyDescent="0.35">
      <c r="A4094" s="86"/>
      <c r="B4094" s="21"/>
      <c r="C4094" s="21"/>
      <c r="D4094" s="21"/>
      <c r="E4094" s="21"/>
      <c r="F4094" s="21"/>
      <c r="G4094" s="21"/>
      <c r="H4094" s="21"/>
      <c r="I4094" s="21"/>
      <c r="J4094" s="21"/>
      <c r="K4094" s="21"/>
      <c r="L4094" s="21"/>
      <c r="M4094" s="22"/>
    </row>
    <row r="4095" spans="1:13" x14ac:dyDescent="0.35">
      <c r="A4095" s="82"/>
      <c r="B4095" s="19"/>
      <c r="C4095" s="19"/>
      <c r="D4095" s="19"/>
      <c r="E4095" s="19"/>
      <c r="F4095" s="19"/>
      <c r="G4095" s="19"/>
      <c r="H4095" s="19"/>
      <c r="I4095" s="19"/>
      <c r="J4095" s="19"/>
      <c r="K4095" s="19"/>
      <c r="L4095" s="19"/>
      <c r="M4095" s="20"/>
    </row>
    <row r="4096" spans="1:13" x14ac:dyDescent="0.35">
      <c r="A4096" s="82"/>
      <c r="B4096" s="19"/>
      <c r="C4096" s="19"/>
      <c r="D4096" s="19"/>
      <c r="E4096" s="19"/>
      <c r="F4096" s="19"/>
      <c r="G4096" s="19"/>
      <c r="H4096" s="19"/>
      <c r="I4096" s="19"/>
      <c r="J4096" s="19"/>
      <c r="K4096" s="19"/>
      <c r="L4096" s="19"/>
      <c r="M4096" s="20"/>
    </row>
    <row r="4097" spans="1:13" x14ac:dyDescent="0.35">
      <c r="A4097" s="82"/>
      <c r="B4097" s="19"/>
      <c r="C4097" s="19"/>
      <c r="D4097" s="19"/>
      <c r="E4097" s="19"/>
      <c r="F4097" s="19"/>
      <c r="G4097" s="19"/>
      <c r="H4097" s="19"/>
      <c r="I4097" s="19"/>
      <c r="J4097" s="19"/>
      <c r="K4097" s="19"/>
      <c r="L4097" s="19"/>
      <c r="M4097" s="20"/>
    </row>
    <row r="4098" spans="1:13" x14ac:dyDescent="0.35">
      <c r="A4098" s="82"/>
      <c r="B4098" s="19"/>
      <c r="C4098" s="19"/>
      <c r="D4098" s="19"/>
      <c r="E4098" s="19"/>
      <c r="F4098" s="19"/>
      <c r="G4098" s="19"/>
      <c r="H4098" s="19"/>
      <c r="I4098" s="19"/>
      <c r="J4098" s="19"/>
      <c r="K4098" s="19"/>
      <c r="L4098" s="19"/>
      <c r="M4098" s="20"/>
    </row>
    <row r="4099" spans="1:13" x14ac:dyDescent="0.35">
      <c r="A4099" s="81"/>
      <c r="B4099" s="17"/>
      <c r="C4099" s="17"/>
      <c r="D4099" s="17"/>
      <c r="E4099" s="17"/>
      <c r="F4099" s="17"/>
      <c r="G4099" s="17"/>
      <c r="H4099" s="17"/>
      <c r="I4099" s="17"/>
      <c r="J4099" s="17"/>
      <c r="K4099" s="17"/>
      <c r="L4099" s="17"/>
      <c r="M4099" s="18"/>
    </row>
    <row r="4100" spans="1:13" x14ac:dyDescent="0.35">
      <c r="A4100" s="82"/>
      <c r="B4100" s="19"/>
      <c r="C4100" s="19"/>
      <c r="D4100" s="19"/>
      <c r="E4100" s="19"/>
      <c r="F4100" s="19"/>
      <c r="G4100" s="19"/>
      <c r="H4100" s="19"/>
      <c r="I4100" s="19"/>
      <c r="J4100" s="19"/>
      <c r="K4100" s="19"/>
      <c r="L4100" s="19"/>
      <c r="M4100" s="20"/>
    </row>
    <row r="4101" spans="1:13" x14ac:dyDescent="0.35">
      <c r="A4101" s="82"/>
      <c r="B4101" s="19"/>
      <c r="C4101" s="19"/>
      <c r="D4101" s="19"/>
      <c r="E4101" s="19"/>
      <c r="F4101" s="19"/>
      <c r="G4101" s="19"/>
      <c r="H4101" s="19"/>
      <c r="I4101" s="19"/>
      <c r="J4101" s="19"/>
      <c r="K4101" s="19"/>
      <c r="L4101" s="19"/>
      <c r="M4101" s="20"/>
    </row>
    <row r="4102" spans="1:13" x14ac:dyDescent="0.35">
      <c r="A4102" s="81"/>
      <c r="B4102" s="17"/>
      <c r="C4102" s="17"/>
      <c r="D4102" s="17"/>
      <c r="E4102" s="17"/>
      <c r="F4102" s="17"/>
      <c r="G4102" s="17"/>
      <c r="H4102" s="17"/>
      <c r="I4102" s="17"/>
      <c r="J4102" s="17"/>
      <c r="K4102" s="17"/>
      <c r="L4102" s="17"/>
      <c r="M4102" s="18"/>
    </row>
    <row r="4103" spans="1:13" x14ac:dyDescent="0.35">
      <c r="A4103" s="81"/>
      <c r="B4103" s="17"/>
      <c r="C4103" s="17"/>
      <c r="D4103" s="17"/>
      <c r="E4103" s="17"/>
      <c r="F4103" s="17"/>
      <c r="G4103" s="17"/>
      <c r="H4103" s="17"/>
      <c r="I4103" s="17"/>
      <c r="J4103" s="17"/>
      <c r="K4103" s="17"/>
      <c r="L4103" s="17"/>
      <c r="M4103" s="18"/>
    </row>
    <row r="4104" spans="1:13" x14ac:dyDescent="0.35">
      <c r="A4104" s="81"/>
      <c r="B4104" s="17"/>
      <c r="C4104" s="17"/>
      <c r="D4104" s="17"/>
      <c r="E4104" s="17"/>
      <c r="F4104" s="17"/>
      <c r="G4104" s="17"/>
      <c r="H4104" s="17"/>
      <c r="I4104" s="17"/>
      <c r="J4104" s="17"/>
      <c r="K4104" s="17"/>
      <c r="L4104" s="17"/>
      <c r="M4104" s="18"/>
    </row>
    <row r="4105" spans="1:13" x14ac:dyDescent="0.35">
      <c r="A4105" s="82"/>
      <c r="B4105" s="19"/>
      <c r="C4105" s="19"/>
      <c r="D4105" s="19"/>
      <c r="E4105" s="19"/>
      <c r="F4105" s="19"/>
      <c r="G4105" s="19"/>
      <c r="H4105" s="19"/>
      <c r="I4105" s="19"/>
      <c r="J4105" s="19"/>
      <c r="K4105" s="19"/>
      <c r="L4105" s="19"/>
      <c r="M4105" s="20"/>
    </row>
    <row r="4106" spans="1:13" x14ac:dyDescent="0.35">
      <c r="A4106" s="82"/>
      <c r="B4106" s="19"/>
      <c r="C4106" s="19"/>
      <c r="D4106" s="19"/>
      <c r="E4106" s="19"/>
      <c r="F4106" s="19"/>
      <c r="G4106" s="19"/>
      <c r="H4106" s="19"/>
      <c r="I4106" s="19"/>
      <c r="J4106" s="19"/>
      <c r="K4106" s="19"/>
      <c r="L4106" s="19"/>
      <c r="M4106" s="20"/>
    </row>
    <row r="4107" spans="1:13" x14ac:dyDescent="0.35">
      <c r="A4107" s="81"/>
      <c r="B4107" s="17"/>
      <c r="C4107" s="17"/>
      <c r="D4107" s="17"/>
      <c r="E4107" s="17"/>
      <c r="F4107" s="17"/>
      <c r="G4107" s="17"/>
      <c r="H4107" s="17"/>
      <c r="I4107" s="17"/>
      <c r="J4107" s="17"/>
      <c r="K4107" s="17"/>
      <c r="L4107" s="17"/>
      <c r="M4107" s="18"/>
    </row>
    <row r="4108" spans="1:13" x14ac:dyDescent="0.35">
      <c r="A4108" s="82"/>
      <c r="B4108" s="19"/>
      <c r="C4108" s="19"/>
      <c r="D4108" s="19"/>
      <c r="E4108" s="19"/>
      <c r="F4108" s="19"/>
      <c r="G4108" s="19"/>
      <c r="H4108" s="19"/>
      <c r="I4108" s="19"/>
      <c r="J4108" s="19"/>
      <c r="K4108" s="19"/>
      <c r="L4108" s="19"/>
      <c r="M4108" s="20"/>
    </row>
    <row r="4109" spans="1:13" x14ac:dyDescent="0.35">
      <c r="A4109" s="82"/>
      <c r="B4109" s="19"/>
      <c r="C4109" s="19"/>
      <c r="D4109" s="19"/>
      <c r="E4109" s="19"/>
      <c r="F4109" s="19"/>
      <c r="G4109" s="19"/>
      <c r="H4109" s="19"/>
      <c r="I4109" s="19"/>
      <c r="J4109" s="19"/>
      <c r="K4109" s="19"/>
      <c r="L4109" s="19"/>
      <c r="M4109" s="20"/>
    </row>
    <row r="4110" spans="1:13" x14ac:dyDescent="0.35">
      <c r="A4110" s="82"/>
      <c r="B4110" s="19"/>
      <c r="C4110" s="19"/>
      <c r="D4110" s="19"/>
      <c r="E4110" s="19"/>
      <c r="F4110" s="19"/>
      <c r="G4110" s="19"/>
      <c r="H4110" s="19"/>
      <c r="I4110" s="19"/>
      <c r="J4110" s="19"/>
      <c r="K4110" s="19"/>
      <c r="L4110" s="19"/>
      <c r="M4110" s="20"/>
    </row>
    <row r="4111" spans="1:13" x14ac:dyDescent="0.35">
      <c r="A4111" s="81"/>
      <c r="B4111" s="17"/>
      <c r="C4111" s="17"/>
      <c r="D4111" s="17"/>
      <c r="E4111" s="17"/>
      <c r="F4111" s="17"/>
      <c r="G4111" s="17"/>
      <c r="H4111" s="17"/>
      <c r="I4111" s="17"/>
      <c r="J4111" s="17"/>
      <c r="K4111" s="17"/>
      <c r="L4111" s="17"/>
      <c r="M4111" s="18"/>
    </row>
    <row r="4112" spans="1:13" x14ac:dyDescent="0.35">
      <c r="A4112" s="81"/>
      <c r="B4112" s="17"/>
      <c r="C4112" s="17"/>
      <c r="D4112" s="17"/>
      <c r="E4112" s="17"/>
      <c r="F4112" s="17"/>
      <c r="G4112" s="17"/>
      <c r="H4112" s="17"/>
      <c r="I4112" s="17"/>
      <c r="J4112" s="17"/>
      <c r="K4112" s="17"/>
      <c r="L4112" s="17"/>
      <c r="M4112" s="18"/>
    </row>
    <row r="4113" spans="1:13" x14ac:dyDescent="0.35">
      <c r="A4113" s="82"/>
      <c r="B4113" s="19"/>
      <c r="C4113" s="19"/>
      <c r="D4113" s="19"/>
      <c r="E4113" s="19"/>
      <c r="F4113" s="19"/>
      <c r="G4113" s="19"/>
      <c r="H4113" s="19"/>
      <c r="I4113" s="19"/>
      <c r="J4113" s="19"/>
      <c r="K4113" s="19"/>
      <c r="L4113" s="19"/>
      <c r="M4113" s="20"/>
    </row>
    <row r="4114" spans="1:13" x14ac:dyDescent="0.35">
      <c r="A4114" s="81"/>
      <c r="B4114" s="17"/>
      <c r="C4114" s="17"/>
      <c r="D4114" s="17"/>
      <c r="E4114" s="17"/>
      <c r="F4114" s="17"/>
      <c r="G4114" s="17"/>
      <c r="H4114" s="17"/>
      <c r="I4114" s="17"/>
      <c r="J4114" s="17"/>
      <c r="K4114" s="17"/>
      <c r="L4114" s="17"/>
      <c r="M4114" s="18"/>
    </row>
    <row r="4115" spans="1:13" x14ac:dyDescent="0.35">
      <c r="A4115" s="82"/>
      <c r="B4115" s="19"/>
      <c r="C4115" s="19"/>
      <c r="D4115" s="19"/>
      <c r="E4115" s="19"/>
      <c r="F4115" s="19"/>
      <c r="G4115" s="19"/>
      <c r="H4115" s="19"/>
      <c r="I4115" s="19"/>
      <c r="J4115" s="19"/>
      <c r="K4115" s="19"/>
      <c r="L4115" s="19"/>
      <c r="M4115" s="20"/>
    </row>
    <row r="4116" spans="1:13" x14ac:dyDescent="0.35">
      <c r="A4116" s="82"/>
      <c r="B4116" s="19"/>
      <c r="C4116" s="19"/>
      <c r="D4116" s="19"/>
      <c r="E4116" s="19"/>
      <c r="F4116" s="19"/>
      <c r="G4116" s="19"/>
      <c r="H4116" s="19"/>
      <c r="I4116" s="19"/>
      <c r="J4116" s="19"/>
      <c r="K4116" s="19"/>
      <c r="L4116" s="19"/>
      <c r="M4116" s="20"/>
    </row>
    <row r="4117" spans="1:13" x14ac:dyDescent="0.35">
      <c r="A4117" s="82"/>
      <c r="B4117" s="19"/>
      <c r="C4117" s="19"/>
      <c r="D4117" s="19"/>
      <c r="E4117" s="19"/>
      <c r="F4117" s="19"/>
      <c r="G4117" s="19"/>
      <c r="H4117" s="19"/>
      <c r="I4117" s="19"/>
      <c r="J4117" s="19"/>
      <c r="K4117" s="19"/>
      <c r="L4117" s="19"/>
      <c r="M4117" s="20"/>
    </row>
    <row r="4118" spans="1:13" x14ac:dyDescent="0.35">
      <c r="A4118" s="82"/>
      <c r="B4118" s="19"/>
      <c r="C4118" s="19"/>
      <c r="D4118" s="19"/>
      <c r="E4118" s="19"/>
      <c r="F4118" s="19"/>
      <c r="G4118" s="19"/>
      <c r="H4118" s="19"/>
      <c r="I4118" s="19"/>
      <c r="J4118" s="19"/>
      <c r="K4118" s="19"/>
      <c r="L4118" s="19"/>
      <c r="M4118" s="20"/>
    </row>
    <row r="4119" spans="1:13" x14ac:dyDescent="0.35">
      <c r="A4119" s="82"/>
      <c r="B4119" s="19"/>
      <c r="C4119" s="19"/>
      <c r="D4119" s="19"/>
      <c r="E4119" s="19"/>
      <c r="F4119" s="19"/>
      <c r="G4119" s="19"/>
      <c r="H4119" s="19"/>
      <c r="I4119" s="19"/>
      <c r="J4119" s="19"/>
      <c r="K4119" s="19"/>
      <c r="L4119" s="19"/>
      <c r="M4119" s="20"/>
    </row>
    <row r="4120" spans="1:13" x14ac:dyDescent="0.35">
      <c r="A4120" s="82"/>
      <c r="B4120" s="19"/>
      <c r="C4120" s="19"/>
      <c r="D4120" s="19"/>
      <c r="E4120" s="19"/>
      <c r="F4120" s="19"/>
      <c r="G4120" s="19"/>
      <c r="H4120" s="19"/>
      <c r="I4120" s="19"/>
      <c r="J4120" s="19"/>
      <c r="K4120" s="19"/>
      <c r="L4120" s="19"/>
      <c r="M4120" s="20"/>
    </row>
    <row r="4121" spans="1:13" x14ac:dyDescent="0.35">
      <c r="A4121" s="82"/>
      <c r="B4121" s="19"/>
      <c r="C4121" s="19"/>
      <c r="D4121" s="19"/>
      <c r="E4121" s="19"/>
      <c r="F4121" s="19"/>
      <c r="G4121" s="19"/>
      <c r="H4121" s="19"/>
      <c r="I4121" s="19"/>
      <c r="J4121" s="19"/>
      <c r="K4121" s="19"/>
      <c r="L4121" s="19"/>
      <c r="M4121" s="20"/>
    </row>
    <row r="4122" spans="1:13" x14ac:dyDescent="0.35">
      <c r="A4122" s="82"/>
      <c r="B4122" s="19"/>
      <c r="C4122" s="19"/>
      <c r="D4122" s="19"/>
      <c r="E4122" s="19"/>
      <c r="F4122" s="19"/>
      <c r="G4122" s="19"/>
      <c r="H4122" s="19"/>
      <c r="I4122" s="19"/>
      <c r="J4122" s="19"/>
      <c r="K4122" s="19"/>
      <c r="L4122" s="19"/>
      <c r="M4122" s="20"/>
    </row>
    <row r="4123" spans="1:13" x14ac:dyDescent="0.35">
      <c r="A4123" s="81"/>
      <c r="B4123" s="17"/>
      <c r="C4123" s="17"/>
      <c r="D4123" s="17"/>
      <c r="E4123" s="17"/>
      <c r="F4123" s="17"/>
      <c r="G4123" s="17"/>
      <c r="H4123" s="17"/>
      <c r="I4123" s="17"/>
      <c r="J4123" s="17"/>
      <c r="K4123" s="17"/>
      <c r="L4123" s="17"/>
      <c r="M4123" s="18"/>
    </row>
    <row r="4124" spans="1:13" x14ac:dyDescent="0.35">
      <c r="A4124" s="81"/>
      <c r="B4124" s="17"/>
      <c r="C4124" s="17"/>
      <c r="D4124" s="17"/>
      <c r="E4124" s="17"/>
      <c r="F4124" s="17"/>
      <c r="G4124" s="17"/>
      <c r="H4124" s="17"/>
      <c r="I4124" s="17"/>
      <c r="J4124" s="17"/>
      <c r="K4124" s="17"/>
      <c r="L4124" s="17"/>
      <c r="M4124" s="18"/>
    </row>
    <row r="4125" spans="1:13" x14ac:dyDescent="0.35">
      <c r="A4125" s="82"/>
      <c r="B4125" s="19"/>
      <c r="C4125" s="19"/>
      <c r="D4125" s="19"/>
      <c r="E4125" s="19"/>
      <c r="F4125" s="19"/>
      <c r="G4125" s="19"/>
      <c r="H4125" s="19"/>
      <c r="I4125" s="19"/>
      <c r="J4125" s="19"/>
      <c r="K4125" s="19"/>
      <c r="L4125" s="19"/>
      <c r="M4125" s="20"/>
    </row>
    <row r="4126" spans="1:13" x14ac:dyDescent="0.35">
      <c r="A4126" s="81"/>
      <c r="B4126" s="17"/>
      <c r="C4126" s="17"/>
      <c r="D4126" s="17"/>
      <c r="E4126" s="17"/>
      <c r="F4126" s="17"/>
      <c r="G4126" s="17"/>
      <c r="H4126" s="17"/>
      <c r="I4126" s="17"/>
      <c r="J4126" s="17"/>
      <c r="K4126" s="17"/>
      <c r="L4126" s="17"/>
      <c r="M4126" s="18"/>
    </row>
    <row r="4127" spans="1:13" x14ac:dyDescent="0.35">
      <c r="A4127" s="81"/>
      <c r="B4127" s="17"/>
      <c r="C4127" s="17"/>
      <c r="D4127" s="17"/>
      <c r="E4127" s="17"/>
      <c r="F4127" s="17"/>
      <c r="G4127" s="17"/>
      <c r="H4127" s="17"/>
      <c r="I4127" s="17"/>
      <c r="J4127" s="17"/>
      <c r="K4127" s="17"/>
      <c r="L4127" s="17"/>
      <c r="M4127" s="18"/>
    </row>
    <row r="4128" spans="1:13" x14ac:dyDescent="0.35">
      <c r="A4128" s="82"/>
      <c r="B4128" s="19"/>
      <c r="C4128" s="19"/>
      <c r="D4128" s="19"/>
      <c r="E4128" s="19"/>
      <c r="F4128" s="19"/>
      <c r="G4128" s="19"/>
      <c r="H4128" s="19"/>
      <c r="I4128" s="19"/>
      <c r="J4128" s="19"/>
      <c r="K4128" s="19"/>
      <c r="L4128" s="19"/>
      <c r="M4128" s="20"/>
    </row>
    <row r="4129" spans="1:13" x14ac:dyDescent="0.35">
      <c r="A4129" s="81"/>
      <c r="B4129" s="17"/>
      <c r="C4129" s="17"/>
      <c r="D4129" s="17"/>
      <c r="E4129" s="17"/>
      <c r="F4129" s="17"/>
      <c r="G4129" s="17"/>
      <c r="H4129" s="17"/>
      <c r="I4129" s="17"/>
      <c r="J4129" s="17"/>
      <c r="K4129" s="17"/>
      <c r="L4129" s="17"/>
      <c r="M4129" s="18"/>
    </row>
    <row r="4130" spans="1:13" x14ac:dyDescent="0.35">
      <c r="A4130" s="81"/>
      <c r="B4130" s="17"/>
      <c r="C4130" s="17"/>
      <c r="D4130" s="17"/>
      <c r="E4130" s="17"/>
      <c r="F4130" s="17"/>
      <c r="G4130" s="17"/>
      <c r="H4130" s="17"/>
      <c r="I4130" s="17"/>
      <c r="J4130" s="17"/>
      <c r="K4130" s="17"/>
      <c r="L4130" s="17"/>
      <c r="M4130" s="18"/>
    </row>
    <row r="4131" spans="1:13" x14ac:dyDescent="0.35">
      <c r="A4131" s="82"/>
      <c r="B4131" s="19"/>
      <c r="C4131" s="19"/>
      <c r="D4131" s="19"/>
      <c r="E4131" s="19"/>
      <c r="F4131" s="19"/>
      <c r="G4131" s="19"/>
      <c r="H4131" s="19"/>
      <c r="I4131" s="19"/>
      <c r="J4131" s="19"/>
      <c r="K4131" s="19"/>
      <c r="L4131" s="19"/>
      <c r="M4131" s="20"/>
    </row>
    <row r="4132" spans="1:13" x14ac:dyDescent="0.35">
      <c r="A4132" s="82"/>
      <c r="B4132" s="19"/>
      <c r="C4132" s="19"/>
      <c r="D4132" s="19"/>
      <c r="E4132" s="19"/>
      <c r="F4132" s="19"/>
      <c r="G4132" s="19"/>
      <c r="H4132" s="19"/>
      <c r="I4132" s="19"/>
      <c r="J4132" s="19"/>
      <c r="K4132" s="19"/>
      <c r="L4132" s="19"/>
      <c r="M4132" s="20"/>
    </row>
    <row r="4133" spans="1:13" x14ac:dyDescent="0.35">
      <c r="A4133" s="81"/>
      <c r="B4133" s="17"/>
      <c r="C4133" s="17"/>
      <c r="D4133" s="17"/>
      <c r="E4133" s="17"/>
      <c r="F4133" s="17"/>
      <c r="G4133" s="17"/>
      <c r="H4133" s="17"/>
      <c r="I4133" s="17"/>
      <c r="J4133" s="17"/>
      <c r="K4133" s="17"/>
      <c r="L4133" s="17"/>
      <c r="M4133" s="18"/>
    </row>
    <row r="4134" spans="1:13" x14ac:dyDescent="0.35">
      <c r="A4134" s="82"/>
      <c r="B4134" s="19"/>
      <c r="C4134" s="19"/>
      <c r="D4134" s="19"/>
      <c r="E4134" s="19"/>
      <c r="F4134" s="19"/>
      <c r="G4134" s="19"/>
      <c r="H4134" s="19"/>
      <c r="I4134" s="19"/>
      <c r="J4134" s="19"/>
      <c r="K4134" s="19"/>
      <c r="L4134" s="19"/>
      <c r="M4134" s="20"/>
    </row>
    <row r="4135" spans="1:13" x14ac:dyDescent="0.35">
      <c r="A4135" s="86"/>
      <c r="B4135" s="21"/>
      <c r="C4135" s="21"/>
      <c r="D4135" s="21"/>
      <c r="E4135" s="21"/>
      <c r="F4135" s="21"/>
      <c r="G4135" s="21"/>
      <c r="H4135" s="21"/>
      <c r="I4135" s="21"/>
      <c r="J4135" s="21"/>
      <c r="K4135" s="21"/>
      <c r="L4135" s="21"/>
      <c r="M4135" s="22"/>
    </row>
    <row r="4136" spans="1:13" x14ac:dyDescent="0.35">
      <c r="A4136" s="85"/>
      <c r="B4136" s="23"/>
      <c r="C4136" s="23"/>
      <c r="D4136" s="23"/>
      <c r="E4136" s="23"/>
      <c r="F4136" s="23"/>
      <c r="G4136" s="23"/>
      <c r="H4136" s="23"/>
      <c r="I4136" s="23"/>
      <c r="J4136" s="23"/>
      <c r="K4136" s="23"/>
      <c r="L4136" s="23"/>
      <c r="M4136" s="24"/>
    </row>
    <row r="4137" spans="1:13" x14ac:dyDescent="0.35">
      <c r="A4137" s="85"/>
      <c r="B4137" s="23"/>
      <c r="C4137" s="23"/>
      <c r="D4137" s="23"/>
      <c r="E4137" s="23"/>
      <c r="F4137" s="23"/>
      <c r="G4137" s="23"/>
      <c r="H4137" s="23"/>
      <c r="I4137" s="23"/>
      <c r="J4137" s="23"/>
      <c r="K4137" s="23"/>
      <c r="L4137" s="23"/>
      <c r="M4137" s="24"/>
    </row>
    <row r="4138" spans="1:13" x14ac:dyDescent="0.35">
      <c r="A4138" s="82"/>
      <c r="B4138" s="19"/>
      <c r="C4138" s="19"/>
      <c r="D4138" s="19"/>
      <c r="E4138" s="19"/>
      <c r="F4138" s="19"/>
      <c r="G4138" s="19"/>
      <c r="H4138" s="19"/>
      <c r="I4138" s="19"/>
      <c r="J4138" s="19"/>
      <c r="K4138" s="19"/>
      <c r="L4138" s="19"/>
      <c r="M4138" s="20"/>
    </row>
    <row r="4139" spans="1:13" x14ac:dyDescent="0.35">
      <c r="A4139" s="82"/>
      <c r="B4139" s="19"/>
      <c r="C4139" s="19"/>
      <c r="D4139" s="19"/>
      <c r="E4139" s="19"/>
      <c r="F4139" s="19"/>
      <c r="G4139" s="19"/>
      <c r="H4139" s="19"/>
      <c r="I4139" s="19"/>
      <c r="J4139" s="19"/>
      <c r="K4139" s="19"/>
      <c r="L4139" s="19"/>
      <c r="M4139" s="20"/>
    </row>
    <row r="4140" spans="1:13" x14ac:dyDescent="0.35">
      <c r="A4140" s="82"/>
      <c r="B4140" s="19"/>
      <c r="C4140" s="19"/>
      <c r="D4140" s="19"/>
      <c r="E4140" s="19"/>
      <c r="F4140" s="19"/>
      <c r="G4140" s="19"/>
      <c r="H4140" s="19"/>
      <c r="I4140" s="19"/>
      <c r="J4140" s="19"/>
      <c r="K4140" s="19"/>
      <c r="L4140" s="19"/>
      <c r="M4140" s="20"/>
    </row>
    <row r="4141" spans="1:13" x14ac:dyDescent="0.35">
      <c r="A4141" s="82"/>
      <c r="B4141" s="19"/>
      <c r="C4141" s="19"/>
      <c r="D4141" s="19"/>
      <c r="E4141" s="19"/>
      <c r="F4141" s="19"/>
      <c r="G4141" s="19"/>
      <c r="H4141" s="19"/>
      <c r="I4141" s="19"/>
      <c r="J4141" s="19"/>
      <c r="K4141" s="19"/>
      <c r="L4141" s="19"/>
      <c r="M4141" s="20"/>
    </row>
    <row r="4142" spans="1:13" x14ac:dyDescent="0.35">
      <c r="A4142" s="82"/>
      <c r="B4142" s="19"/>
      <c r="C4142" s="19"/>
      <c r="D4142" s="19"/>
      <c r="E4142" s="19"/>
      <c r="F4142" s="19"/>
      <c r="G4142" s="19"/>
      <c r="H4142" s="19"/>
      <c r="I4142" s="19"/>
      <c r="J4142" s="19"/>
      <c r="K4142" s="19"/>
      <c r="L4142" s="19"/>
      <c r="M4142" s="20"/>
    </row>
    <row r="4143" spans="1:13" x14ac:dyDescent="0.35">
      <c r="A4143" s="82"/>
      <c r="B4143" s="19"/>
      <c r="C4143" s="19"/>
      <c r="D4143" s="19"/>
      <c r="E4143" s="19"/>
      <c r="F4143" s="19"/>
      <c r="G4143" s="19"/>
      <c r="H4143" s="19"/>
      <c r="I4143" s="19"/>
      <c r="J4143" s="19"/>
      <c r="K4143" s="19"/>
      <c r="L4143" s="19"/>
      <c r="M4143" s="20"/>
    </row>
    <row r="4144" spans="1:13" x14ac:dyDescent="0.35">
      <c r="A4144" s="82"/>
      <c r="B4144" s="19"/>
      <c r="C4144" s="19"/>
      <c r="D4144" s="19"/>
      <c r="E4144" s="19"/>
      <c r="F4144" s="19"/>
      <c r="G4144" s="19"/>
      <c r="H4144" s="19"/>
      <c r="I4144" s="19"/>
      <c r="J4144" s="19"/>
      <c r="K4144" s="19"/>
      <c r="L4144" s="19"/>
      <c r="M4144" s="20"/>
    </row>
    <row r="4145" spans="1:13" x14ac:dyDescent="0.35">
      <c r="A4145" s="82"/>
      <c r="B4145" s="19"/>
      <c r="C4145" s="19"/>
      <c r="D4145" s="19"/>
      <c r="E4145" s="19"/>
      <c r="F4145" s="19"/>
      <c r="G4145" s="19"/>
      <c r="H4145" s="19"/>
      <c r="I4145" s="19"/>
      <c r="J4145" s="19"/>
      <c r="K4145" s="19"/>
      <c r="L4145" s="19"/>
      <c r="M4145" s="20"/>
    </row>
    <row r="4146" spans="1:13" x14ac:dyDescent="0.35">
      <c r="A4146" s="82"/>
      <c r="B4146" s="19"/>
      <c r="C4146" s="19"/>
      <c r="D4146" s="19"/>
      <c r="E4146" s="19"/>
      <c r="F4146" s="19"/>
      <c r="G4146" s="19"/>
      <c r="H4146" s="19"/>
      <c r="I4146" s="19"/>
      <c r="J4146" s="19"/>
      <c r="K4146" s="19"/>
      <c r="L4146" s="19"/>
      <c r="M4146" s="20"/>
    </row>
    <row r="4147" spans="1:13" x14ac:dyDescent="0.35">
      <c r="A4147" s="81"/>
      <c r="B4147" s="17"/>
      <c r="C4147" s="17"/>
      <c r="D4147" s="17"/>
      <c r="E4147" s="17"/>
      <c r="F4147" s="17"/>
      <c r="G4147" s="17"/>
      <c r="H4147" s="17"/>
      <c r="I4147" s="17"/>
      <c r="J4147" s="17"/>
      <c r="K4147" s="17"/>
      <c r="L4147" s="17"/>
      <c r="M4147" s="20"/>
    </row>
    <row r="4148" spans="1:13" x14ac:dyDescent="0.35">
      <c r="A4148" s="82"/>
      <c r="B4148" s="19"/>
      <c r="C4148" s="19"/>
      <c r="D4148" s="19"/>
      <c r="E4148" s="19"/>
      <c r="F4148" s="19"/>
      <c r="G4148" s="19"/>
      <c r="H4148" s="19"/>
      <c r="I4148" s="19"/>
      <c r="J4148" s="19"/>
      <c r="K4148" s="19"/>
      <c r="L4148" s="19"/>
      <c r="M4148" s="20"/>
    </row>
    <row r="4149" spans="1:13" x14ac:dyDescent="0.35">
      <c r="A4149" s="82"/>
      <c r="B4149" s="19"/>
      <c r="C4149" s="19"/>
      <c r="D4149" s="19"/>
      <c r="E4149" s="19"/>
      <c r="F4149" s="19"/>
      <c r="G4149" s="19"/>
      <c r="H4149" s="19"/>
      <c r="I4149" s="19"/>
      <c r="J4149" s="19"/>
      <c r="K4149" s="19"/>
      <c r="L4149" s="19"/>
      <c r="M4149" s="20"/>
    </row>
    <row r="4150" spans="1:13" x14ac:dyDescent="0.35">
      <c r="A4150" s="81"/>
      <c r="B4150" s="17"/>
      <c r="C4150" s="17"/>
      <c r="D4150" s="17"/>
      <c r="E4150" s="17"/>
      <c r="F4150" s="17"/>
      <c r="G4150" s="17"/>
      <c r="H4150" s="17"/>
      <c r="I4150" s="17"/>
      <c r="J4150" s="17"/>
      <c r="K4150" s="17"/>
      <c r="L4150" s="17"/>
      <c r="M4150" s="20"/>
    </row>
    <row r="4151" spans="1:13" x14ac:dyDescent="0.35">
      <c r="A4151" s="82"/>
      <c r="B4151" s="19"/>
      <c r="C4151" s="19"/>
      <c r="D4151" s="19"/>
      <c r="E4151" s="19"/>
      <c r="F4151" s="19"/>
      <c r="G4151" s="19"/>
      <c r="H4151" s="19"/>
      <c r="I4151" s="19"/>
      <c r="J4151" s="19"/>
      <c r="K4151" s="19"/>
      <c r="L4151" s="19"/>
      <c r="M4151" s="20"/>
    </row>
    <row r="4152" spans="1:13" x14ac:dyDescent="0.35">
      <c r="A4152" s="82"/>
      <c r="B4152" s="19"/>
      <c r="C4152" s="19"/>
      <c r="D4152" s="19"/>
      <c r="E4152" s="19"/>
      <c r="F4152" s="19"/>
      <c r="G4152" s="19"/>
      <c r="H4152" s="19"/>
      <c r="I4152" s="19"/>
      <c r="J4152" s="19"/>
      <c r="K4152" s="19"/>
      <c r="L4152" s="19"/>
      <c r="M4152" s="20"/>
    </row>
    <row r="4153" spans="1:13" x14ac:dyDescent="0.35">
      <c r="A4153" s="81"/>
      <c r="B4153" s="17"/>
      <c r="C4153" s="17"/>
      <c r="D4153" s="17"/>
      <c r="E4153" s="17"/>
      <c r="F4153" s="17"/>
      <c r="G4153" s="17"/>
      <c r="H4153" s="17"/>
      <c r="I4153" s="17"/>
      <c r="J4153" s="17"/>
      <c r="K4153" s="17"/>
      <c r="L4153" s="17"/>
      <c r="M4153" s="20"/>
    </row>
    <row r="4154" spans="1:13" x14ac:dyDescent="0.35">
      <c r="A4154" s="82"/>
      <c r="B4154" s="19"/>
      <c r="C4154" s="19"/>
      <c r="D4154" s="19"/>
      <c r="E4154" s="19"/>
      <c r="F4154" s="19"/>
      <c r="G4154" s="19"/>
      <c r="H4154" s="19"/>
      <c r="I4154" s="19"/>
      <c r="J4154" s="19"/>
      <c r="K4154" s="19"/>
      <c r="L4154" s="19"/>
      <c r="M4154" s="20"/>
    </row>
    <row r="4155" spans="1:13" x14ac:dyDescent="0.35">
      <c r="A4155" s="81"/>
      <c r="B4155" s="17"/>
      <c r="C4155" s="17"/>
      <c r="D4155" s="17"/>
      <c r="E4155" s="17"/>
      <c r="F4155" s="17"/>
      <c r="G4155" s="17"/>
      <c r="H4155" s="17"/>
      <c r="I4155" s="17"/>
      <c r="J4155" s="17"/>
      <c r="K4155" s="17"/>
      <c r="L4155" s="17"/>
      <c r="M4155" s="20"/>
    </row>
    <row r="4156" spans="1:13" x14ac:dyDescent="0.35">
      <c r="A4156" s="82"/>
      <c r="B4156" s="19"/>
      <c r="C4156" s="19"/>
      <c r="D4156" s="19"/>
      <c r="E4156" s="19"/>
      <c r="F4156" s="19"/>
      <c r="G4156" s="19"/>
      <c r="H4156" s="19"/>
      <c r="I4156" s="19"/>
      <c r="J4156" s="19"/>
      <c r="K4156" s="19"/>
      <c r="L4156" s="19"/>
      <c r="M4156" s="20"/>
    </row>
    <row r="4157" spans="1:13" x14ac:dyDescent="0.35">
      <c r="A4157" s="81"/>
      <c r="B4157" s="17"/>
      <c r="C4157" s="17"/>
      <c r="D4157" s="17"/>
      <c r="E4157" s="17"/>
      <c r="F4157" s="17"/>
      <c r="G4157" s="17"/>
      <c r="H4157" s="17"/>
      <c r="I4157" s="17"/>
      <c r="J4157" s="17"/>
      <c r="K4157" s="17"/>
      <c r="L4157" s="17"/>
      <c r="M4157" s="20"/>
    </row>
    <row r="4158" spans="1:13" x14ac:dyDescent="0.35">
      <c r="A4158" s="82"/>
      <c r="B4158" s="19"/>
      <c r="C4158" s="19"/>
      <c r="D4158" s="19"/>
      <c r="E4158" s="19"/>
      <c r="F4158" s="19"/>
      <c r="G4158" s="19"/>
      <c r="H4158" s="19"/>
      <c r="I4158" s="19"/>
      <c r="J4158" s="19"/>
      <c r="K4158" s="19"/>
      <c r="L4158" s="19"/>
      <c r="M4158" s="20"/>
    </row>
    <row r="4159" spans="1:13" x14ac:dyDescent="0.35">
      <c r="A4159" s="82"/>
      <c r="B4159" s="19"/>
      <c r="C4159" s="19"/>
      <c r="D4159" s="19"/>
      <c r="E4159" s="19"/>
      <c r="F4159" s="19"/>
      <c r="G4159" s="19"/>
      <c r="H4159" s="19"/>
      <c r="I4159" s="19"/>
      <c r="J4159" s="19"/>
      <c r="K4159" s="19"/>
      <c r="L4159" s="19"/>
      <c r="M4159" s="20"/>
    </row>
    <row r="4160" spans="1:13" x14ac:dyDescent="0.35">
      <c r="A4160" s="81"/>
      <c r="B4160" s="17"/>
      <c r="C4160" s="17"/>
      <c r="D4160" s="17"/>
      <c r="E4160" s="17"/>
      <c r="F4160" s="17"/>
      <c r="G4160" s="17"/>
      <c r="H4160" s="17"/>
      <c r="I4160" s="17"/>
      <c r="J4160" s="17"/>
      <c r="K4160" s="17"/>
      <c r="L4160" s="17"/>
      <c r="M4160" s="20"/>
    </row>
    <row r="4161" spans="1:13" x14ac:dyDescent="0.35">
      <c r="A4161" s="82"/>
      <c r="B4161" s="19"/>
      <c r="C4161" s="19"/>
      <c r="D4161" s="19"/>
      <c r="E4161" s="19"/>
      <c r="F4161" s="19"/>
      <c r="G4161" s="19"/>
      <c r="H4161" s="19"/>
      <c r="I4161" s="19"/>
      <c r="J4161" s="19"/>
      <c r="K4161" s="19"/>
      <c r="L4161" s="19"/>
      <c r="M4161" s="20"/>
    </row>
    <row r="4162" spans="1:13" x14ac:dyDescent="0.35">
      <c r="A4162" s="81"/>
      <c r="B4162" s="17"/>
      <c r="C4162" s="17"/>
      <c r="D4162" s="17"/>
      <c r="E4162" s="17"/>
      <c r="F4162" s="17"/>
      <c r="G4162" s="17"/>
      <c r="H4162" s="17"/>
      <c r="I4162" s="17"/>
      <c r="J4162" s="17"/>
      <c r="K4162" s="17"/>
      <c r="L4162" s="17"/>
      <c r="M4162" s="18"/>
    </row>
    <row r="4163" spans="1:13" x14ac:dyDescent="0.35">
      <c r="A4163" s="82"/>
      <c r="B4163" s="19"/>
      <c r="C4163" s="19"/>
      <c r="D4163" s="19"/>
      <c r="E4163" s="19"/>
      <c r="F4163" s="19"/>
      <c r="G4163" s="19"/>
      <c r="H4163" s="19"/>
      <c r="I4163" s="19"/>
      <c r="J4163" s="19"/>
      <c r="K4163" s="19"/>
      <c r="L4163" s="19"/>
      <c r="M4163" s="20"/>
    </row>
    <row r="4164" spans="1:13" x14ac:dyDescent="0.35">
      <c r="A4164" s="81"/>
      <c r="B4164" s="17"/>
      <c r="C4164" s="17"/>
      <c r="D4164" s="17"/>
      <c r="E4164" s="17"/>
      <c r="F4164" s="17"/>
      <c r="G4164" s="17"/>
      <c r="H4164" s="17"/>
      <c r="I4164" s="17"/>
      <c r="J4164" s="17"/>
      <c r="K4164" s="17"/>
      <c r="L4164" s="17"/>
      <c r="M4164" s="18"/>
    </row>
    <row r="4165" spans="1:13" x14ac:dyDescent="0.35">
      <c r="A4165" s="82"/>
      <c r="B4165" s="19"/>
      <c r="C4165" s="19"/>
      <c r="D4165" s="19"/>
      <c r="E4165" s="19"/>
      <c r="F4165" s="19"/>
      <c r="G4165" s="19"/>
      <c r="H4165" s="19"/>
      <c r="I4165" s="19"/>
      <c r="J4165" s="19"/>
      <c r="K4165" s="19"/>
      <c r="L4165" s="19"/>
      <c r="M4165" s="20"/>
    </row>
    <row r="4166" spans="1:13" x14ac:dyDescent="0.35">
      <c r="A4166" s="81"/>
      <c r="B4166" s="17"/>
      <c r="C4166" s="17"/>
      <c r="D4166" s="17"/>
      <c r="E4166" s="17"/>
      <c r="F4166" s="17"/>
      <c r="G4166" s="17"/>
      <c r="H4166" s="17"/>
      <c r="I4166" s="17"/>
      <c r="J4166" s="17"/>
      <c r="K4166" s="17"/>
      <c r="L4166" s="17"/>
      <c r="M4166" s="18"/>
    </row>
    <row r="4167" spans="1:13" x14ac:dyDescent="0.35">
      <c r="A4167" s="82"/>
      <c r="B4167" s="19"/>
      <c r="C4167" s="19"/>
      <c r="D4167" s="19"/>
      <c r="E4167" s="19"/>
      <c r="F4167" s="19"/>
      <c r="G4167" s="19"/>
      <c r="H4167" s="19"/>
      <c r="I4167" s="19"/>
      <c r="J4167" s="19"/>
      <c r="K4167" s="19"/>
      <c r="L4167" s="19"/>
      <c r="M4167" s="20"/>
    </row>
    <row r="4168" spans="1:13" x14ac:dyDescent="0.35">
      <c r="A4168" s="81"/>
      <c r="B4168" s="17"/>
      <c r="C4168" s="17"/>
      <c r="D4168" s="17"/>
      <c r="E4168" s="17"/>
      <c r="F4168" s="17"/>
      <c r="G4168" s="17"/>
      <c r="H4168" s="17"/>
      <c r="I4168" s="17"/>
      <c r="J4168" s="17"/>
      <c r="K4168" s="17"/>
      <c r="L4168" s="17"/>
      <c r="M4168" s="18"/>
    </row>
    <row r="4169" spans="1:13" x14ac:dyDescent="0.35">
      <c r="A4169" s="82"/>
      <c r="B4169" s="19"/>
      <c r="C4169" s="19"/>
      <c r="D4169" s="19"/>
      <c r="E4169" s="19"/>
      <c r="F4169" s="19"/>
      <c r="G4169" s="19"/>
      <c r="H4169" s="19"/>
      <c r="I4169" s="19"/>
      <c r="J4169" s="19"/>
      <c r="K4169" s="19"/>
      <c r="L4169" s="19"/>
      <c r="M4169" s="20"/>
    </row>
    <row r="4170" spans="1:13" x14ac:dyDescent="0.35">
      <c r="A4170" s="81"/>
      <c r="B4170" s="17"/>
      <c r="C4170" s="17"/>
      <c r="D4170" s="17"/>
      <c r="E4170" s="17"/>
      <c r="F4170" s="17"/>
      <c r="G4170" s="17"/>
      <c r="H4170" s="17"/>
      <c r="I4170" s="17"/>
      <c r="J4170" s="17"/>
      <c r="K4170" s="17"/>
      <c r="L4170" s="17"/>
      <c r="M4170" s="18"/>
    </row>
    <row r="4171" spans="1:13" x14ac:dyDescent="0.35">
      <c r="A4171" s="81"/>
      <c r="B4171" s="17"/>
      <c r="C4171" s="17"/>
      <c r="D4171" s="17"/>
      <c r="E4171" s="17"/>
      <c r="F4171" s="17"/>
      <c r="G4171" s="17"/>
      <c r="H4171" s="17"/>
      <c r="I4171" s="17"/>
      <c r="J4171" s="17"/>
      <c r="K4171" s="17"/>
      <c r="L4171" s="17"/>
      <c r="M4171" s="18"/>
    </row>
    <row r="4172" spans="1:13" x14ac:dyDescent="0.35">
      <c r="A4172" s="81"/>
      <c r="B4172" s="17"/>
      <c r="C4172" s="17"/>
      <c r="D4172" s="17"/>
      <c r="E4172" s="17"/>
      <c r="F4172" s="17"/>
      <c r="G4172" s="17"/>
      <c r="H4172" s="17"/>
      <c r="I4172" s="17"/>
      <c r="J4172" s="17"/>
      <c r="K4172" s="17"/>
      <c r="L4172" s="17"/>
      <c r="M4172" s="18"/>
    </row>
    <row r="4173" spans="1:13" x14ac:dyDescent="0.35">
      <c r="A4173" s="82"/>
      <c r="B4173" s="19"/>
      <c r="C4173" s="19"/>
      <c r="D4173" s="19"/>
      <c r="E4173" s="19"/>
      <c r="F4173" s="19"/>
      <c r="G4173" s="19"/>
      <c r="H4173" s="19"/>
      <c r="I4173" s="19"/>
      <c r="J4173" s="19"/>
      <c r="K4173" s="19"/>
      <c r="L4173" s="19"/>
      <c r="M4173" s="20"/>
    </row>
    <row r="4174" spans="1:13" x14ac:dyDescent="0.35">
      <c r="A4174" s="82"/>
      <c r="B4174" s="19"/>
      <c r="C4174" s="19"/>
      <c r="D4174" s="19"/>
      <c r="E4174" s="19"/>
      <c r="F4174" s="19"/>
      <c r="G4174" s="19"/>
      <c r="H4174" s="19"/>
      <c r="I4174" s="19"/>
      <c r="J4174" s="19"/>
      <c r="K4174" s="19"/>
      <c r="L4174" s="19"/>
      <c r="M4174" s="20"/>
    </row>
    <row r="4175" spans="1:13" x14ac:dyDescent="0.35">
      <c r="A4175" s="82"/>
      <c r="B4175" s="19"/>
      <c r="C4175" s="19"/>
      <c r="D4175" s="19"/>
      <c r="E4175" s="19"/>
      <c r="F4175" s="19"/>
      <c r="G4175" s="19"/>
      <c r="H4175" s="19"/>
      <c r="I4175" s="19"/>
      <c r="J4175" s="19"/>
      <c r="K4175" s="19"/>
      <c r="L4175" s="19"/>
      <c r="M4175" s="20"/>
    </row>
    <row r="4176" spans="1:13" x14ac:dyDescent="0.35">
      <c r="A4176" s="82"/>
      <c r="B4176" s="19"/>
      <c r="C4176" s="19"/>
      <c r="D4176" s="19"/>
      <c r="E4176" s="19"/>
      <c r="F4176" s="19"/>
      <c r="G4176" s="19"/>
      <c r="H4176" s="19"/>
      <c r="I4176" s="19"/>
      <c r="J4176" s="19"/>
      <c r="K4176" s="19"/>
      <c r="L4176" s="19"/>
      <c r="M4176" s="20"/>
    </row>
    <row r="4177" spans="1:13" x14ac:dyDescent="0.35">
      <c r="A4177" s="81"/>
      <c r="B4177" s="17"/>
      <c r="C4177" s="17"/>
      <c r="D4177" s="17"/>
      <c r="E4177" s="17"/>
      <c r="F4177" s="17"/>
      <c r="G4177" s="17"/>
      <c r="H4177" s="17"/>
      <c r="I4177" s="17"/>
      <c r="J4177" s="17"/>
      <c r="K4177" s="17"/>
      <c r="L4177" s="17"/>
      <c r="M4177" s="18"/>
    </row>
    <row r="4178" spans="1:13" x14ac:dyDescent="0.35">
      <c r="A4178" s="82"/>
      <c r="B4178" s="19"/>
      <c r="C4178" s="19"/>
      <c r="D4178" s="19"/>
      <c r="E4178" s="19"/>
      <c r="F4178" s="19"/>
      <c r="G4178" s="19"/>
      <c r="H4178" s="19"/>
      <c r="I4178" s="19"/>
      <c r="J4178" s="19"/>
      <c r="K4178" s="19"/>
      <c r="L4178" s="19"/>
      <c r="M4178" s="20"/>
    </row>
    <row r="4179" spans="1:13" x14ac:dyDescent="0.35">
      <c r="A4179" s="82"/>
      <c r="B4179" s="19"/>
      <c r="C4179" s="19"/>
      <c r="D4179" s="19"/>
      <c r="E4179" s="19"/>
      <c r="F4179" s="19"/>
      <c r="G4179" s="19"/>
      <c r="H4179" s="19"/>
      <c r="I4179" s="19"/>
      <c r="J4179" s="19"/>
      <c r="K4179" s="19"/>
      <c r="L4179" s="19"/>
      <c r="M4179" s="20"/>
    </row>
    <row r="4180" spans="1:13" x14ac:dyDescent="0.35">
      <c r="A4180" s="82"/>
      <c r="B4180" s="19"/>
      <c r="C4180" s="19"/>
      <c r="D4180" s="19"/>
      <c r="E4180" s="19"/>
      <c r="F4180" s="19"/>
      <c r="G4180" s="19"/>
      <c r="H4180" s="19"/>
      <c r="I4180" s="19"/>
      <c r="J4180" s="19"/>
      <c r="K4180" s="19"/>
      <c r="L4180" s="19"/>
      <c r="M4180" s="20"/>
    </row>
    <row r="4181" spans="1:13" x14ac:dyDescent="0.35">
      <c r="A4181" s="81"/>
      <c r="B4181" s="17"/>
      <c r="C4181" s="17"/>
      <c r="D4181" s="17"/>
      <c r="E4181" s="17"/>
      <c r="F4181" s="17"/>
      <c r="G4181" s="17"/>
      <c r="H4181" s="17"/>
      <c r="I4181" s="17"/>
      <c r="J4181" s="17"/>
      <c r="K4181" s="17"/>
      <c r="L4181" s="17"/>
      <c r="M4181" s="18"/>
    </row>
    <row r="4182" spans="1:13" x14ac:dyDescent="0.35">
      <c r="A4182" s="81"/>
      <c r="B4182" s="17"/>
      <c r="C4182" s="17"/>
      <c r="D4182" s="17"/>
      <c r="E4182" s="17"/>
      <c r="F4182" s="17"/>
      <c r="G4182" s="17"/>
      <c r="H4182" s="17"/>
      <c r="I4182" s="17"/>
      <c r="J4182" s="17"/>
      <c r="K4182" s="17"/>
      <c r="L4182" s="17"/>
      <c r="M4182" s="18"/>
    </row>
    <row r="4183" spans="1:13" x14ac:dyDescent="0.35">
      <c r="A4183" s="82"/>
      <c r="B4183" s="19"/>
      <c r="C4183" s="19"/>
      <c r="D4183" s="19"/>
      <c r="E4183" s="19"/>
      <c r="F4183" s="19"/>
      <c r="G4183" s="19"/>
      <c r="H4183" s="19"/>
      <c r="I4183" s="19"/>
      <c r="J4183" s="19"/>
      <c r="K4183" s="19"/>
      <c r="L4183" s="19"/>
      <c r="M4183" s="20"/>
    </row>
    <row r="4184" spans="1:13" x14ac:dyDescent="0.35">
      <c r="A4184" s="81"/>
      <c r="B4184" s="17"/>
      <c r="C4184" s="17"/>
      <c r="D4184" s="17"/>
      <c r="E4184" s="17"/>
      <c r="F4184" s="17"/>
      <c r="G4184" s="17"/>
      <c r="H4184" s="17"/>
      <c r="I4184" s="17"/>
      <c r="J4184" s="17"/>
      <c r="K4184" s="17"/>
      <c r="L4184" s="17"/>
      <c r="M4184" s="18"/>
    </row>
    <row r="4185" spans="1:13" x14ac:dyDescent="0.35">
      <c r="A4185" s="81"/>
      <c r="B4185" s="17"/>
      <c r="C4185" s="17"/>
      <c r="D4185" s="17"/>
      <c r="E4185" s="17"/>
      <c r="F4185" s="17"/>
      <c r="G4185" s="17"/>
      <c r="H4185" s="17"/>
      <c r="I4185" s="17"/>
      <c r="J4185" s="17"/>
      <c r="K4185" s="17"/>
      <c r="L4185" s="17"/>
      <c r="M4185" s="18"/>
    </row>
    <row r="4186" spans="1:13" x14ac:dyDescent="0.35">
      <c r="A4186" s="82"/>
      <c r="B4186" s="19"/>
      <c r="C4186" s="19"/>
      <c r="D4186" s="19"/>
      <c r="E4186" s="19"/>
      <c r="F4186" s="19"/>
      <c r="G4186" s="19"/>
      <c r="H4186" s="19"/>
      <c r="I4186" s="19"/>
      <c r="J4186" s="19"/>
      <c r="K4186" s="19"/>
      <c r="L4186" s="19"/>
      <c r="M4186" s="20"/>
    </row>
    <row r="4187" spans="1:13" x14ac:dyDescent="0.35">
      <c r="A4187" s="81"/>
      <c r="B4187" s="17"/>
      <c r="C4187" s="17"/>
      <c r="D4187" s="17"/>
      <c r="E4187" s="17"/>
      <c r="F4187" s="17"/>
      <c r="G4187" s="17"/>
      <c r="H4187" s="17"/>
      <c r="I4187" s="17"/>
      <c r="J4187" s="17"/>
      <c r="K4187" s="17"/>
      <c r="L4187" s="17"/>
      <c r="M4187" s="18"/>
    </row>
    <row r="4188" spans="1:13" x14ac:dyDescent="0.35">
      <c r="A4188" s="82"/>
      <c r="B4188" s="19"/>
      <c r="C4188" s="19"/>
      <c r="D4188" s="19"/>
      <c r="E4188" s="19"/>
      <c r="F4188" s="19"/>
      <c r="G4188" s="19"/>
      <c r="H4188" s="19"/>
      <c r="I4188" s="19"/>
      <c r="J4188" s="19"/>
      <c r="K4188" s="19"/>
      <c r="L4188" s="19"/>
      <c r="M4188" s="20"/>
    </row>
    <row r="4189" spans="1:13" x14ac:dyDescent="0.35">
      <c r="A4189" s="81"/>
      <c r="B4189" s="17"/>
      <c r="C4189" s="17"/>
      <c r="D4189" s="17"/>
      <c r="E4189" s="17"/>
      <c r="F4189" s="17"/>
      <c r="G4189" s="17"/>
      <c r="H4189" s="17"/>
      <c r="I4189" s="17"/>
      <c r="J4189" s="17"/>
      <c r="K4189" s="17"/>
      <c r="L4189" s="17"/>
      <c r="M4189" s="18"/>
    </row>
    <row r="4190" spans="1:13" x14ac:dyDescent="0.35">
      <c r="A4190" s="82"/>
      <c r="B4190" s="19"/>
      <c r="C4190" s="19"/>
      <c r="D4190" s="19"/>
      <c r="E4190" s="19"/>
      <c r="F4190" s="19"/>
      <c r="G4190" s="19"/>
      <c r="H4190" s="19"/>
      <c r="I4190" s="19"/>
      <c r="J4190" s="19"/>
      <c r="K4190" s="19"/>
      <c r="L4190" s="19"/>
      <c r="M4190" s="20"/>
    </row>
    <row r="4191" spans="1:13" x14ac:dyDescent="0.35">
      <c r="A4191" s="81"/>
      <c r="B4191" s="17"/>
      <c r="C4191" s="17"/>
      <c r="D4191" s="17"/>
      <c r="E4191" s="17"/>
      <c r="F4191" s="17"/>
      <c r="G4191" s="17"/>
      <c r="H4191" s="17"/>
      <c r="I4191" s="17"/>
      <c r="J4191" s="17"/>
      <c r="K4191" s="17"/>
      <c r="L4191" s="17"/>
      <c r="M4191" s="18"/>
    </row>
    <row r="4192" spans="1:13" x14ac:dyDescent="0.35">
      <c r="A4192" s="82"/>
      <c r="B4192" s="19"/>
      <c r="C4192" s="19"/>
      <c r="D4192" s="19"/>
      <c r="E4192" s="19"/>
      <c r="F4192" s="19"/>
      <c r="G4192" s="19"/>
      <c r="H4192" s="19"/>
      <c r="I4192" s="19"/>
      <c r="J4192" s="19"/>
      <c r="K4192" s="19"/>
      <c r="L4192" s="19"/>
      <c r="M4192" s="20"/>
    </row>
    <row r="4193" spans="1:13" x14ac:dyDescent="0.35">
      <c r="A4193" s="81"/>
      <c r="B4193" s="17"/>
      <c r="C4193" s="17"/>
      <c r="D4193" s="17"/>
      <c r="E4193" s="17"/>
      <c r="F4193" s="17"/>
      <c r="G4193" s="17"/>
      <c r="H4193" s="17"/>
      <c r="I4193" s="17"/>
      <c r="J4193" s="17"/>
      <c r="K4193" s="17"/>
      <c r="L4193" s="17"/>
      <c r="M4193" s="18"/>
    </row>
    <row r="4194" spans="1:13" x14ac:dyDescent="0.35">
      <c r="A4194" s="82"/>
      <c r="B4194" s="19"/>
      <c r="C4194" s="19"/>
      <c r="D4194" s="19"/>
      <c r="E4194" s="19"/>
      <c r="F4194" s="19"/>
      <c r="G4194" s="19"/>
      <c r="H4194" s="19"/>
      <c r="I4194" s="19"/>
      <c r="J4194" s="19"/>
      <c r="K4194" s="19"/>
      <c r="L4194" s="19"/>
      <c r="M4194" s="20"/>
    </row>
    <row r="4195" spans="1:13" x14ac:dyDescent="0.35">
      <c r="A4195" s="82"/>
      <c r="B4195" s="19"/>
      <c r="C4195" s="19"/>
      <c r="D4195" s="19"/>
      <c r="E4195" s="19"/>
      <c r="F4195" s="19"/>
      <c r="G4195" s="19"/>
      <c r="H4195" s="19"/>
      <c r="I4195" s="19"/>
      <c r="J4195" s="19"/>
      <c r="K4195" s="19"/>
      <c r="L4195" s="19"/>
      <c r="M4195" s="20"/>
    </row>
    <row r="4196" spans="1:13" x14ac:dyDescent="0.35">
      <c r="A4196" s="81"/>
      <c r="B4196" s="17"/>
      <c r="C4196" s="17"/>
      <c r="D4196" s="17"/>
      <c r="E4196" s="17"/>
      <c r="F4196" s="17"/>
      <c r="G4196" s="17"/>
      <c r="H4196" s="17"/>
      <c r="I4196" s="17"/>
      <c r="J4196" s="17"/>
      <c r="K4196" s="17"/>
      <c r="L4196" s="17"/>
      <c r="M4196" s="18"/>
    </row>
    <row r="4197" spans="1:13" x14ac:dyDescent="0.35">
      <c r="A4197" s="82"/>
      <c r="B4197" s="19"/>
      <c r="C4197" s="19"/>
      <c r="D4197" s="19"/>
      <c r="E4197" s="19"/>
      <c r="F4197" s="19"/>
      <c r="G4197" s="19"/>
      <c r="H4197" s="19"/>
      <c r="I4197" s="19"/>
      <c r="J4197" s="19"/>
      <c r="K4197" s="19"/>
      <c r="L4197" s="19"/>
      <c r="M4197" s="20"/>
    </row>
    <row r="4198" spans="1:13" x14ac:dyDescent="0.35">
      <c r="A4198" s="81"/>
      <c r="B4198" s="17"/>
      <c r="C4198" s="17"/>
      <c r="D4198" s="17"/>
      <c r="E4198" s="17"/>
      <c r="F4198" s="17"/>
      <c r="G4198" s="17"/>
      <c r="H4198" s="17"/>
      <c r="I4198" s="17"/>
      <c r="J4198" s="17"/>
      <c r="K4198" s="17"/>
      <c r="L4198" s="17"/>
      <c r="M4198" s="18"/>
    </row>
    <row r="4199" spans="1:13" x14ac:dyDescent="0.35">
      <c r="A4199" s="82"/>
      <c r="B4199" s="19"/>
      <c r="C4199" s="19"/>
      <c r="D4199" s="19"/>
      <c r="E4199" s="19"/>
      <c r="F4199" s="19"/>
      <c r="G4199" s="19"/>
      <c r="H4199" s="19"/>
      <c r="I4199" s="19"/>
      <c r="J4199" s="19"/>
      <c r="K4199" s="19"/>
      <c r="L4199" s="19"/>
      <c r="M4199" s="20"/>
    </row>
    <row r="4200" spans="1:13" x14ac:dyDescent="0.35">
      <c r="A4200" s="81"/>
      <c r="B4200" s="17"/>
      <c r="C4200" s="17"/>
      <c r="D4200" s="17"/>
      <c r="E4200" s="17"/>
      <c r="F4200" s="17"/>
      <c r="G4200" s="17"/>
      <c r="H4200" s="17"/>
      <c r="I4200" s="17"/>
      <c r="J4200" s="17"/>
      <c r="K4200" s="17"/>
      <c r="L4200" s="17"/>
      <c r="M4200" s="18"/>
    </row>
    <row r="4201" spans="1:13" x14ac:dyDescent="0.35">
      <c r="A4201" s="82"/>
      <c r="B4201" s="19"/>
      <c r="C4201" s="19"/>
      <c r="D4201" s="19"/>
      <c r="E4201" s="19"/>
      <c r="F4201" s="19"/>
      <c r="G4201" s="19"/>
      <c r="H4201" s="19"/>
      <c r="I4201" s="19"/>
      <c r="J4201" s="19"/>
      <c r="K4201" s="19"/>
      <c r="L4201" s="19"/>
      <c r="M4201" s="20"/>
    </row>
    <row r="4202" spans="1:13" x14ac:dyDescent="0.35">
      <c r="A4202" s="82"/>
      <c r="B4202" s="19"/>
      <c r="C4202" s="19"/>
      <c r="D4202" s="19"/>
      <c r="E4202" s="19"/>
      <c r="F4202" s="19"/>
      <c r="G4202" s="19"/>
      <c r="H4202" s="19"/>
      <c r="I4202" s="19"/>
      <c r="J4202" s="19"/>
      <c r="K4202" s="19"/>
      <c r="L4202" s="19"/>
      <c r="M4202" s="20"/>
    </row>
    <row r="4203" spans="1:13" x14ac:dyDescent="0.35">
      <c r="A4203" s="82"/>
      <c r="B4203" s="19"/>
      <c r="C4203" s="19"/>
      <c r="D4203" s="19"/>
      <c r="E4203" s="19"/>
      <c r="F4203" s="19"/>
      <c r="G4203" s="19"/>
      <c r="H4203" s="19"/>
      <c r="I4203" s="19"/>
      <c r="J4203" s="19"/>
      <c r="K4203" s="19"/>
      <c r="L4203" s="19"/>
      <c r="M4203" s="20"/>
    </row>
    <row r="4204" spans="1:13" x14ac:dyDescent="0.35">
      <c r="A4204" s="82"/>
      <c r="B4204" s="19"/>
      <c r="C4204" s="19"/>
      <c r="D4204" s="19"/>
      <c r="E4204" s="19"/>
      <c r="F4204" s="19"/>
      <c r="G4204" s="19"/>
      <c r="H4204" s="19"/>
      <c r="I4204" s="19"/>
      <c r="J4204" s="19"/>
      <c r="K4204" s="19"/>
      <c r="L4204" s="19"/>
      <c r="M4204" s="20"/>
    </row>
    <row r="4205" spans="1:13" x14ac:dyDescent="0.35">
      <c r="A4205" s="82"/>
      <c r="B4205" s="19"/>
      <c r="C4205" s="19"/>
      <c r="D4205" s="19"/>
      <c r="E4205" s="19"/>
      <c r="F4205" s="19"/>
      <c r="G4205" s="19"/>
      <c r="H4205" s="19"/>
      <c r="I4205" s="19"/>
      <c r="J4205" s="19"/>
      <c r="K4205" s="19"/>
      <c r="L4205" s="19"/>
      <c r="M4205" s="20"/>
    </row>
    <row r="4206" spans="1:13" x14ac:dyDescent="0.35">
      <c r="A4206" s="82"/>
      <c r="B4206" s="19"/>
      <c r="C4206" s="19"/>
      <c r="D4206" s="19"/>
      <c r="E4206" s="19"/>
      <c r="F4206" s="19"/>
      <c r="G4206" s="19"/>
      <c r="H4206" s="19"/>
      <c r="I4206" s="19"/>
      <c r="J4206" s="19"/>
      <c r="K4206" s="19"/>
      <c r="L4206" s="19"/>
      <c r="M4206" s="20"/>
    </row>
    <row r="4207" spans="1:13" x14ac:dyDescent="0.35">
      <c r="A4207" s="86"/>
      <c r="B4207" s="21"/>
      <c r="C4207" s="21"/>
      <c r="D4207" s="21"/>
      <c r="E4207" s="21"/>
      <c r="F4207" s="21"/>
      <c r="G4207" s="21"/>
      <c r="H4207" s="21"/>
      <c r="I4207" s="21"/>
      <c r="J4207" s="21"/>
      <c r="K4207" s="21"/>
      <c r="L4207" s="21"/>
      <c r="M4207" s="22"/>
    </row>
    <row r="4208" spans="1:13" x14ac:dyDescent="0.35">
      <c r="A4208" s="86"/>
      <c r="B4208" s="21"/>
      <c r="C4208" s="21"/>
      <c r="D4208" s="21"/>
      <c r="E4208" s="21"/>
      <c r="F4208" s="21"/>
      <c r="G4208" s="21"/>
      <c r="H4208" s="21"/>
      <c r="I4208" s="21"/>
      <c r="J4208" s="21"/>
      <c r="K4208" s="21"/>
      <c r="L4208" s="21"/>
      <c r="M4208" s="22"/>
    </row>
    <row r="4209" spans="1:13" x14ac:dyDescent="0.35">
      <c r="A4209" s="85"/>
      <c r="B4209" s="23"/>
      <c r="C4209" s="23"/>
      <c r="D4209" s="23"/>
      <c r="E4209" s="23"/>
      <c r="F4209" s="23"/>
      <c r="G4209" s="23"/>
      <c r="H4209" s="23"/>
      <c r="I4209" s="23"/>
      <c r="J4209" s="23"/>
      <c r="K4209" s="23"/>
      <c r="L4209" s="23"/>
      <c r="M4209" s="24"/>
    </row>
    <row r="4210" spans="1:13" x14ac:dyDescent="0.35">
      <c r="A4210" s="85"/>
      <c r="B4210" s="23"/>
      <c r="C4210" s="23"/>
      <c r="D4210" s="23"/>
      <c r="E4210" s="23"/>
      <c r="F4210" s="23"/>
      <c r="G4210" s="23"/>
      <c r="H4210" s="23"/>
      <c r="I4210" s="23"/>
      <c r="J4210" s="23"/>
      <c r="K4210" s="23"/>
      <c r="L4210" s="23"/>
      <c r="M4210" s="24"/>
    </row>
    <row r="4211" spans="1:13" x14ac:dyDescent="0.35">
      <c r="A4211" s="86"/>
      <c r="B4211" s="21"/>
      <c r="C4211" s="21"/>
      <c r="D4211" s="21"/>
      <c r="E4211" s="21"/>
      <c r="F4211" s="21"/>
      <c r="G4211" s="21"/>
      <c r="H4211" s="21"/>
      <c r="I4211" s="21"/>
      <c r="J4211" s="21"/>
      <c r="K4211" s="21"/>
      <c r="L4211" s="21"/>
      <c r="M4211" s="22"/>
    </row>
    <row r="4212" spans="1:13" x14ac:dyDescent="0.35">
      <c r="A4212" s="85"/>
      <c r="B4212" s="23"/>
      <c r="C4212" s="23"/>
      <c r="D4212" s="23"/>
      <c r="E4212" s="23"/>
      <c r="F4212" s="23"/>
      <c r="G4212" s="23"/>
      <c r="H4212" s="23"/>
      <c r="I4212" s="23"/>
      <c r="J4212" s="23"/>
      <c r="K4212" s="23"/>
      <c r="L4212" s="23"/>
      <c r="M4212" s="24"/>
    </row>
    <row r="4213" spans="1:13" x14ac:dyDescent="0.35">
      <c r="A4213" s="86"/>
      <c r="B4213" s="21"/>
      <c r="C4213" s="21"/>
      <c r="D4213" s="21"/>
      <c r="E4213" s="21"/>
      <c r="F4213" s="21"/>
      <c r="G4213" s="21"/>
      <c r="H4213" s="21"/>
      <c r="I4213" s="21"/>
      <c r="J4213" s="21"/>
      <c r="K4213" s="21"/>
      <c r="L4213" s="21"/>
      <c r="M4213" s="22"/>
    </row>
    <row r="4214" spans="1:13" x14ac:dyDescent="0.35">
      <c r="A4214" s="85"/>
      <c r="B4214" s="23"/>
      <c r="C4214" s="23"/>
      <c r="D4214" s="23"/>
      <c r="E4214" s="23"/>
      <c r="F4214" s="23"/>
      <c r="G4214" s="23"/>
      <c r="H4214" s="23"/>
      <c r="I4214" s="23"/>
      <c r="J4214" s="23"/>
      <c r="K4214" s="23"/>
      <c r="L4214" s="23"/>
      <c r="M4214" s="24"/>
    </row>
    <row r="4215" spans="1:13" x14ac:dyDescent="0.35">
      <c r="A4215" s="86"/>
      <c r="B4215" s="21"/>
      <c r="C4215" s="21"/>
      <c r="D4215" s="21"/>
      <c r="E4215" s="21"/>
      <c r="F4215" s="21"/>
      <c r="G4215" s="21"/>
      <c r="H4215" s="21"/>
      <c r="I4215" s="21"/>
      <c r="J4215" s="21"/>
      <c r="K4215" s="21"/>
      <c r="L4215" s="21"/>
      <c r="M4215" s="22"/>
    </row>
    <row r="4216" spans="1:13" x14ac:dyDescent="0.35">
      <c r="A4216" s="85"/>
      <c r="B4216" s="23"/>
      <c r="C4216" s="23"/>
      <c r="D4216" s="23"/>
      <c r="E4216" s="23"/>
      <c r="F4216" s="23"/>
      <c r="G4216" s="23"/>
      <c r="H4216" s="23"/>
      <c r="I4216" s="23"/>
      <c r="J4216" s="23"/>
      <c r="K4216" s="23"/>
      <c r="L4216" s="23"/>
      <c r="M4216" s="24"/>
    </row>
    <row r="4217" spans="1:13" x14ac:dyDescent="0.35">
      <c r="A4217" s="86"/>
      <c r="B4217" s="21"/>
      <c r="C4217" s="21"/>
      <c r="D4217" s="21"/>
      <c r="E4217" s="21"/>
      <c r="F4217" s="21"/>
      <c r="G4217" s="21"/>
      <c r="H4217" s="21"/>
      <c r="I4217" s="21"/>
      <c r="J4217" s="21"/>
      <c r="K4217" s="21"/>
      <c r="L4217" s="21"/>
      <c r="M4217" s="22"/>
    </row>
    <row r="4218" spans="1:13" x14ac:dyDescent="0.35">
      <c r="A4218" s="85"/>
      <c r="B4218" s="23"/>
      <c r="C4218" s="23"/>
      <c r="D4218" s="23"/>
      <c r="E4218" s="23"/>
      <c r="F4218" s="23"/>
      <c r="G4218" s="23"/>
      <c r="H4218" s="23"/>
      <c r="I4218" s="23"/>
      <c r="J4218" s="23"/>
      <c r="K4218" s="23"/>
      <c r="L4218" s="23"/>
      <c r="M4218" s="24"/>
    </row>
    <row r="4219" spans="1:13" x14ac:dyDescent="0.35">
      <c r="A4219" s="86"/>
      <c r="B4219" s="21"/>
      <c r="C4219" s="21"/>
      <c r="D4219" s="21"/>
      <c r="E4219" s="21"/>
      <c r="F4219" s="21"/>
      <c r="G4219" s="21"/>
      <c r="H4219" s="21"/>
      <c r="I4219" s="21"/>
      <c r="J4219" s="21"/>
      <c r="K4219" s="21"/>
      <c r="L4219" s="21"/>
      <c r="M4219" s="22"/>
    </row>
    <row r="4220" spans="1:13" x14ac:dyDescent="0.35">
      <c r="A4220" s="85"/>
      <c r="B4220" s="23"/>
      <c r="C4220" s="23"/>
      <c r="D4220" s="23"/>
      <c r="E4220" s="23"/>
      <c r="F4220" s="23"/>
      <c r="G4220" s="23"/>
      <c r="H4220" s="23"/>
      <c r="I4220" s="23"/>
      <c r="J4220" s="23"/>
      <c r="K4220" s="23"/>
      <c r="L4220" s="23"/>
      <c r="M4220" s="24"/>
    </row>
    <row r="4221" spans="1:13" x14ac:dyDescent="0.35">
      <c r="A4221" s="85"/>
      <c r="B4221" s="23"/>
      <c r="C4221" s="23"/>
      <c r="D4221" s="23"/>
      <c r="E4221" s="23"/>
      <c r="F4221" s="23"/>
      <c r="G4221" s="23"/>
      <c r="H4221" s="23"/>
      <c r="I4221" s="23"/>
      <c r="J4221" s="23"/>
      <c r="K4221" s="23"/>
      <c r="L4221" s="23"/>
      <c r="M4221" s="24"/>
    </row>
    <row r="4222" spans="1:13" x14ac:dyDescent="0.35">
      <c r="A4222" s="86"/>
      <c r="B4222" s="21"/>
      <c r="C4222" s="21"/>
      <c r="D4222" s="21"/>
      <c r="E4222" s="21"/>
      <c r="F4222" s="21"/>
      <c r="G4222" s="21"/>
      <c r="H4222" s="21"/>
      <c r="I4222" s="21"/>
      <c r="J4222" s="21"/>
      <c r="K4222" s="21"/>
      <c r="L4222" s="21"/>
      <c r="M4222" s="22"/>
    </row>
    <row r="4223" spans="1:13" x14ac:dyDescent="0.35">
      <c r="A4223" s="86"/>
      <c r="B4223" s="21"/>
      <c r="C4223" s="21"/>
      <c r="D4223" s="21"/>
      <c r="E4223" s="21"/>
      <c r="F4223" s="21"/>
      <c r="G4223" s="21"/>
      <c r="H4223" s="21"/>
      <c r="I4223" s="21"/>
      <c r="J4223" s="21"/>
      <c r="K4223" s="21"/>
      <c r="L4223" s="21"/>
      <c r="M4223" s="22"/>
    </row>
    <row r="4224" spans="1:13" x14ac:dyDescent="0.35">
      <c r="A4224" s="85"/>
      <c r="B4224" s="23"/>
      <c r="C4224" s="23"/>
      <c r="D4224" s="23"/>
      <c r="E4224" s="23"/>
      <c r="F4224" s="23"/>
      <c r="G4224" s="23"/>
      <c r="H4224" s="23"/>
      <c r="I4224" s="23"/>
      <c r="J4224" s="23"/>
      <c r="K4224" s="23"/>
      <c r="L4224" s="23"/>
      <c r="M4224" s="24"/>
    </row>
    <row r="4225" spans="1:13" x14ac:dyDescent="0.35">
      <c r="A4225" s="86"/>
      <c r="B4225" s="21"/>
      <c r="C4225" s="21"/>
      <c r="D4225" s="21"/>
      <c r="E4225" s="21"/>
      <c r="F4225" s="21"/>
      <c r="G4225" s="21"/>
      <c r="H4225" s="21"/>
      <c r="I4225" s="21"/>
      <c r="J4225" s="21"/>
      <c r="K4225" s="21"/>
      <c r="L4225" s="21"/>
      <c r="M4225" s="22"/>
    </row>
    <row r="4226" spans="1:13" x14ac:dyDescent="0.35">
      <c r="A4226" s="85"/>
      <c r="B4226" s="23"/>
      <c r="C4226" s="23"/>
      <c r="D4226" s="23"/>
      <c r="E4226" s="23"/>
      <c r="F4226" s="23"/>
      <c r="G4226" s="23"/>
      <c r="H4226" s="23"/>
      <c r="I4226" s="23"/>
      <c r="J4226" s="23"/>
      <c r="K4226" s="23"/>
      <c r="L4226" s="23"/>
      <c r="M4226" s="24"/>
    </row>
    <row r="4227" spans="1:13" x14ac:dyDescent="0.35">
      <c r="A4227" s="85"/>
      <c r="B4227" s="23"/>
      <c r="C4227" s="23"/>
      <c r="D4227" s="23"/>
      <c r="E4227" s="23"/>
      <c r="F4227" s="23"/>
      <c r="G4227" s="23"/>
      <c r="H4227" s="23"/>
      <c r="I4227" s="23"/>
      <c r="J4227" s="23"/>
      <c r="K4227" s="23"/>
      <c r="L4227" s="23"/>
      <c r="M4227" s="24"/>
    </row>
    <row r="4228" spans="1:13" x14ac:dyDescent="0.35">
      <c r="A4228" s="86"/>
      <c r="B4228" s="21"/>
      <c r="C4228" s="21"/>
      <c r="D4228" s="21"/>
      <c r="E4228" s="21"/>
      <c r="F4228" s="21"/>
      <c r="G4228" s="21"/>
      <c r="H4228" s="21"/>
      <c r="I4228" s="21"/>
      <c r="J4228" s="21"/>
      <c r="K4228" s="21"/>
      <c r="L4228" s="21"/>
      <c r="M4228" s="22"/>
    </row>
    <row r="4229" spans="1:13" x14ac:dyDescent="0.35">
      <c r="A4229" s="85"/>
      <c r="B4229" s="23"/>
      <c r="C4229" s="23"/>
      <c r="D4229" s="23"/>
      <c r="E4229" s="23"/>
      <c r="F4229" s="23"/>
      <c r="G4229" s="23"/>
      <c r="H4229" s="23"/>
      <c r="I4229" s="23"/>
      <c r="J4229" s="23"/>
      <c r="K4229" s="23"/>
      <c r="L4229" s="23"/>
      <c r="M4229" s="24"/>
    </row>
    <row r="4230" spans="1:13" x14ac:dyDescent="0.35">
      <c r="A4230" s="85"/>
      <c r="B4230" s="23"/>
      <c r="C4230" s="23"/>
      <c r="D4230" s="23"/>
      <c r="E4230" s="23"/>
      <c r="F4230" s="23"/>
      <c r="G4230" s="23"/>
      <c r="H4230" s="23"/>
      <c r="I4230" s="23"/>
      <c r="J4230" s="23"/>
      <c r="K4230" s="23"/>
      <c r="L4230" s="23"/>
      <c r="M4230" s="24"/>
    </row>
    <row r="4231" spans="1:13" x14ac:dyDescent="0.35">
      <c r="A4231" s="85"/>
      <c r="B4231" s="23"/>
      <c r="C4231" s="23"/>
      <c r="D4231" s="23"/>
      <c r="E4231" s="23"/>
      <c r="F4231" s="23"/>
      <c r="G4231" s="23"/>
      <c r="H4231" s="23"/>
      <c r="I4231" s="23"/>
      <c r="J4231" s="23"/>
      <c r="K4231" s="23"/>
      <c r="L4231" s="23"/>
      <c r="M4231" s="24"/>
    </row>
    <row r="4232" spans="1:13" x14ac:dyDescent="0.35">
      <c r="A4232" s="86"/>
      <c r="B4232" s="21"/>
      <c r="C4232" s="21"/>
      <c r="D4232" s="21"/>
      <c r="E4232" s="21"/>
      <c r="F4232" s="21"/>
      <c r="G4232" s="21"/>
      <c r="H4232" s="21"/>
      <c r="I4232" s="21"/>
      <c r="J4232" s="21"/>
      <c r="K4232" s="21"/>
      <c r="L4232" s="21"/>
      <c r="M4232" s="22"/>
    </row>
    <row r="4233" spans="1:13" x14ac:dyDescent="0.35">
      <c r="A4233" s="86"/>
      <c r="B4233" s="21"/>
      <c r="C4233" s="21"/>
      <c r="D4233" s="21"/>
      <c r="E4233" s="21"/>
      <c r="F4233" s="21"/>
      <c r="G4233" s="21"/>
      <c r="H4233" s="21"/>
      <c r="I4233" s="21"/>
      <c r="J4233" s="21"/>
      <c r="K4233" s="21"/>
      <c r="L4233" s="21"/>
      <c r="M4233" s="22"/>
    </row>
    <row r="4234" spans="1:13" x14ac:dyDescent="0.35">
      <c r="A4234" s="86"/>
      <c r="B4234" s="21"/>
      <c r="C4234" s="21"/>
      <c r="D4234" s="21"/>
      <c r="E4234" s="21"/>
      <c r="F4234" s="21"/>
      <c r="G4234" s="21"/>
      <c r="H4234" s="21"/>
      <c r="I4234" s="21"/>
      <c r="J4234" s="21"/>
      <c r="K4234" s="21"/>
      <c r="L4234" s="21"/>
      <c r="M4234" s="22"/>
    </row>
    <row r="4235" spans="1:13" x14ac:dyDescent="0.35">
      <c r="A4235" s="85"/>
      <c r="B4235" s="23"/>
      <c r="C4235" s="23"/>
      <c r="D4235" s="23"/>
      <c r="E4235" s="23"/>
      <c r="F4235" s="23"/>
      <c r="G4235" s="23"/>
      <c r="H4235" s="23"/>
      <c r="I4235" s="23"/>
      <c r="J4235" s="23"/>
      <c r="K4235" s="23"/>
      <c r="L4235" s="23"/>
      <c r="M4235" s="24"/>
    </row>
    <row r="4236" spans="1:13" x14ac:dyDescent="0.35">
      <c r="A4236" s="86"/>
      <c r="B4236" s="21"/>
      <c r="C4236" s="21"/>
      <c r="D4236" s="21"/>
      <c r="E4236" s="21"/>
      <c r="F4236" s="21"/>
      <c r="G4236" s="21"/>
      <c r="H4236" s="21"/>
      <c r="I4236" s="21"/>
      <c r="J4236" s="21"/>
      <c r="K4236" s="21"/>
      <c r="L4236" s="21"/>
      <c r="M4236" s="22"/>
    </row>
    <row r="4237" spans="1:13" x14ac:dyDescent="0.35">
      <c r="A4237" s="86"/>
      <c r="B4237" s="21"/>
      <c r="C4237" s="21"/>
      <c r="D4237" s="21"/>
      <c r="E4237" s="21"/>
      <c r="F4237" s="21"/>
      <c r="G4237" s="21"/>
      <c r="H4237" s="21"/>
      <c r="I4237" s="21"/>
      <c r="J4237" s="21"/>
      <c r="K4237" s="21"/>
      <c r="L4237" s="21"/>
      <c r="M4237" s="22"/>
    </row>
    <row r="4238" spans="1:13" x14ac:dyDescent="0.35">
      <c r="A4238" s="86"/>
      <c r="B4238" s="21"/>
      <c r="C4238" s="21"/>
      <c r="D4238" s="21"/>
      <c r="E4238" s="21"/>
      <c r="F4238" s="21"/>
      <c r="G4238" s="21"/>
      <c r="H4238" s="21"/>
      <c r="I4238" s="21"/>
      <c r="J4238" s="21"/>
      <c r="K4238" s="21"/>
      <c r="L4238" s="21"/>
      <c r="M4238" s="22"/>
    </row>
    <row r="4239" spans="1:13" x14ac:dyDescent="0.35">
      <c r="A4239" s="86"/>
      <c r="B4239" s="21"/>
      <c r="C4239" s="21"/>
      <c r="D4239" s="21"/>
      <c r="E4239" s="21"/>
      <c r="F4239" s="21"/>
      <c r="G4239" s="21"/>
      <c r="H4239" s="21"/>
      <c r="I4239" s="21"/>
      <c r="J4239" s="21"/>
      <c r="K4239" s="21"/>
      <c r="L4239" s="21"/>
      <c r="M4239" s="22"/>
    </row>
    <row r="4240" spans="1:13" x14ac:dyDescent="0.35">
      <c r="A4240" s="82"/>
      <c r="B4240" s="19"/>
      <c r="C4240" s="19"/>
      <c r="D4240" s="19"/>
      <c r="E4240" s="19"/>
      <c r="F4240" s="19"/>
      <c r="G4240" s="19"/>
      <c r="H4240" s="19"/>
      <c r="I4240" s="19"/>
      <c r="J4240" s="19"/>
      <c r="K4240" s="19"/>
      <c r="L4240" s="19"/>
      <c r="M4240" s="20"/>
    </row>
    <row r="4241" spans="1:13" x14ac:dyDescent="0.35">
      <c r="A4241" s="82"/>
      <c r="B4241" s="19"/>
      <c r="C4241" s="19"/>
      <c r="D4241" s="19"/>
      <c r="E4241" s="19"/>
      <c r="F4241" s="19"/>
      <c r="G4241" s="19"/>
      <c r="H4241" s="19"/>
      <c r="I4241" s="19"/>
      <c r="J4241" s="19"/>
      <c r="K4241" s="19"/>
      <c r="L4241" s="19"/>
      <c r="M4241" s="20"/>
    </row>
    <row r="4242" spans="1:13" x14ac:dyDescent="0.35">
      <c r="A4242" s="82"/>
      <c r="B4242" s="19"/>
      <c r="C4242" s="19"/>
      <c r="D4242" s="19"/>
      <c r="E4242" s="19"/>
      <c r="F4242" s="19"/>
      <c r="G4242" s="19"/>
      <c r="H4242" s="19"/>
      <c r="I4242" s="19"/>
      <c r="J4242" s="19"/>
      <c r="K4242" s="19"/>
      <c r="L4242" s="19"/>
      <c r="M4242" s="20"/>
    </row>
    <row r="4243" spans="1:13" x14ac:dyDescent="0.35">
      <c r="A4243" s="82"/>
      <c r="B4243" s="19"/>
      <c r="C4243" s="19"/>
      <c r="D4243" s="19"/>
      <c r="E4243" s="19"/>
      <c r="F4243" s="19"/>
      <c r="G4243" s="19"/>
      <c r="H4243" s="19"/>
      <c r="I4243" s="19"/>
      <c r="J4243" s="19"/>
      <c r="K4243" s="19"/>
      <c r="L4243" s="19"/>
      <c r="M4243" s="20"/>
    </row>
    <row r="4244" spans="1:13" x14ac:dyDescent="0.35">
      <c r="A4244" s="82"/>
      <c r="B4244" s="19"/>
      <c r="C4244" s="19"/>
      <c r="D4244" s="19"/>
      <c r="E4244" s="19"/>
      <c r="F4244" s="19"/>
      <c r="G4244" s="19"/>
      <c r="H4244" s="19"/>
      <c r="I4244" s="19"/>
      <c r="J4244" s="19"/>
      <c r="K4244" s="19"/>
      <c r="L4244" s="19"/>
      <c r="M4244" s="20"/>
    </row>
    <row r="4245" spans="1:13" x14ac:dyDescent="0.35">
      <c r="A4245" s="82"/>
      <c r="B4245" s="19"/>
      <c r="C4245" s="19"/>
      <c r="D4245" s="19"/>
      <c r="E4245" s="19"/>
      <c r="F4245" s="19"/>
      <c r="G4245" s="19"/>
      <c r="H4245" s="19"/>
      <c r="I4245" s="19"/>
      <c r="J4245" s="19"/>
      <c r="K4245" s="19"/>
      <c r="L4245" s="19"/>
      <c r="M4245" s="20"/>
    </row>
    <row r="4246" spans="1:13" x14ac:dyDescent="0.35">
      <c r="A4246" s="82"/>
      <c r="B4246" s="19"/>
      <c r="C4246" s="19"/>
      <c r="D4246" s="19"/>
      <c r="E4246" s="19"/>
      <c r="F4246" s="19"/>
      <c r="G4246" s="19"/>
      <c r="H4246" s="19"/>
      <c r="I4246" s="19"/>
      <c r="J4246" s="19"/>
      <c r="K4246" s="19"/>
      <c r="L4246" s="19"/>
      <c r="M4246" s="20"/>
    </row>
    <row r="4247" spans="1:13" x14ac:dyDescent="0.35">
      <c r="A4247" s="85"/>
      <c r="B4247" s="23"/>
      <c r="C4247" s="23"/>
      <c r="D4247" s="23"/>
      <c r="E4247" s="23"/>
      <c r="F4247" s="23"/>
      <c r="G4247" s="23"/>
      <c r="H4247" s="23"/>
      <c r="I4247" s="23"/>
      <c r="J4247" s="23"/>
      <c r="K4247" s="23"/>
      <c r="L4247" s="23"/>
      <c r="M4247" s="24"/>
    </row>
    <row r="4248" spans="1:13" x14ac:dyDescent="0.35">
      <c r="A4248" s="86"/>
      <c r="B4248" s="21"/>
      <c r="C4248" s="21"/>
      <c r="D4248" s="21"/>
      <c r="E4248" s="21"/>
      <c r="F4248" s="21"/>
      <c r="G4248" s="21"/>
      <c r="H4248" s="21"/>
      <c r="I4248" s="21"/>
      <c r="J4248" s="21"/>
      <c r="K4248" s="21"/>
      <c r="L4248" s="21"/>
      <c r="M4248" s="22"/>
    </row>
    <row r="4249" spans="1:13" x14ac:dyDescent="0.35">
      <c r="A4249" s="85"/>
      <c r="B4249" s="23"/>
      <c r="C4249" s="23"/>
      <c r="D4249" s="23"/>
      <c r="E4249" s="23"/>
      <c r="F4249" s="23"/>
      <c r="G4249" s="23"/>
      <c r="H4249" s="23"/>
      <c r="I4249" s="23"/>
      <c r="J4249" s="23"/>
      <c r="K4249" s="23"/>
      <c r="L4249" s="23"/>
      <c r="M4249" s="24"/>
    </row>
    <row r="4250" spans="1:13" x14ac:dyDescent="0.35">
      <c r="A4250" s="86"/>
      <c r="B4250" s="21"/>
      <c r="C4250" s="21"/>
      <c r="D4250" s="21"/>
      <c r="E4250" s="21"/>
      <c r="F4250" s="21"/>
      <c r="G4250" s="21"/>
      <c r="H4250" s="21"/>
      <c r="I4250" s="21"/>
      <c r="J4250" s="21"/>
      <c r="K4250" s="21"/>
      <c r="L4250" s="21"/>
      <c r="M4250" s="22"/>
    </row>
    <row r="4251" spans="1:13" x14ac:dyDescent="0.35">
      <c r="A4251" s="85"/>
      <c r="B4251" s="23"/>
      <c r="C4251" s="23"/>
      <c r="D4251" s="23"/>
      <c r="E4251" s="23"/>
      <c r="F4251" s="23"/>
      <c r="G4251" s="23"/>
      <c r="H4251" s="23"/>
      <c r="I4251" s="23"/>
      <c r="J4251" s="23"/>
      <c r="K4251" s="23"/>
      <c r="L4251" s="23"/>
      <c r="M4251" s="24"/>
    </row>
    <row r="4252" spans="1:13" x14ac:dyDescent="0.35">
      <c r="A4252" s="85"/>
      <c r="B4252" s="23"/>
      <c r="C4252" s="23"/>
      <c r="D4252" s="23"/>
      <c r="E4252" s="23"/>
      <c r="F4252" s="23"/>
      <c r="G4252" s="23"/>
      <c r="H4252" s="23"/>
      <c r="I4252" s="23"/>
      <c r="J4252" s="23"/>
      <c r="K4252" s="23"/>
      <c r="L4252" s="23"/>
      <c r="M4252" s="24"/>
    </row>
    <row r="4253" spans="1:13" x14ac:dyDescent="0.35">
      <c r="A4253" s="85"/>
      <c r="B4253" s="23"/>
      <c r="C4253" s="23"/>
      <c r="D4253" s="23"/>
      <c r="E4253" s="23"/>
      <c r="F4253" s="23"/>
      <c r="G4253" s="23"/>
      <c r="H4253" s="23"/>
      <c r="I4253" s="23"/>
      <c r="J4253" s="23"/>
      <c r="K4253" s="23"/>
      <c r="L4253" s="23"/>
      <c r="M4253" s="24"/>
    </row>
    <row r="4254" spans="1:13" x14ac:dyDescent="0.35">
      <c r="A4254" s="85"/>
      <c r="B4254" s="23"/>
      <c r="C4254" s="23"/>
      <c r="D4254" s="23"/>
      <c r="E4254" s="23"/>
      <c r="F4254" s="23"/>
      <c r="G4254" s="23"/>
      <c r="H4254" s="23"/>
      <c r="I4254" s="23"/>
      <c r="J4254" s="23"/>
      <c r="K4254" s="23"/>
      <c r="L4254" s="23"/>
      <c r="M4254" s="24"/>
    </row>
    <row r="4255" spans="1:13" x14ac:dyDescent="0.35">
      <c r="A4255" s="82"/>
      <c r="B4255" s="19"/>
      <c r="C4255" s="19"/>
      <c r="D4255" s="19"/>
      <c r="E4255" s="19"/>
      <c r="F4255" s="19"/>
      <c r="G4255" s="19"/>
      <c r="H4255" s="19"/>
      <c r="I4255" s="19"/>
      <c r="J4255" s="19"/>
      <c r="K4255" s="19"/>
      <c r="L4255" s="19"/>
      <c r="M4255" s="20"/>
    </row>
    <row r="4256" spans="1:13" x14ac:dyDescent="0.35">
      <c r="A4256" s="82"/>
      <c r="B4256" s="19"/>
      <c r="C4256" s="19"/>
      <c r="D4256" s="19"/>
      <c r="E4256" s="19"/>
      <c r="F4256" s="19"/>
      <c r="G4256" s="19"/>
      <c r="H4256" s="19"/>
      <c r="I4256" s="19"/>
      <c r="J4256" s="19"/>
      <c r="K4256" s="19"/>
      <c r="L4256" s="19"/>
      <c r="M4256" s="20"/>
    </row>
    <row r="4257" spans="1:13" x14ac:dyDescent="0.35">
      <c r="A4257" s="82"/>
      <c r="B4257" s="19"/>
      <c r="C4257" s="19"/>
      <c r="D4257" s="19"/>
      <c r="E4257" s="19"/>
      <c r="F4257" s="19"/>
      <c r="G4257" s="19"/>
      <c r="H4257" s="19"/>
      <c r="I4257" s="19"/>
      <c r="J4257" s="19"/>
      <c r="K4257" s="19"/>
      <c r="L4257" s="19"/>
      <c r="M4257" s="20"/>
    </row>
    <row r="4258" spans="1:13" x14ac:dyDescent="0.35">
      <c r="A4258" s="82"/>
      <c r="B4258" s="19"/>
      <c r="C4258" s="19"/>
      <c r="D4258" s="19"/>
      <c r="E4258" s="19"/>
      <c r="F4258" s="19"/>
      <c r="G4258" s="19"/>
      <c r="H4258" s="19"/>
      <c r="I4258" s="19"/>
      <c r="J4258" s="19"/>
      <c r="K4258" s="19"/>
      <c r="L4258" s="19"/>
      <c r="M4258" s="20"/>
    </row>
    <row r="4259" spans="1:13" x14ac:dyDescent="0.35">
      <c r="A4259" s="82"/>
      <c r="B4259" s="19"/>
      <c r="C4259" s="19"/>
      <c r="D4259" s="19"/>
      <c r="E4259" s="19"/>
      <c r="F4259" s="19"/>
      <c r="G4259" s="19"/>
      <c r="H4259" s="19"/>
      <c r="I4259" s="19"/>
      <c r="J4259" s="19"/>
      <c r="K4259" s="19"/>
      <c r="L4259" s="19"/>
      <c r="M4259" s="20"/>
    </row>
    <row r="4260" spans="1:13" x14ac:dyDescent="0.35">
      <c r="A4260" s="81"/>
      <c r="B4260" s="17"/>
      <c r="C4260" s="17"/>
      <c r="D4260" s="17"/>
      <c r="E4260" s="17"/>
      <c r="F4260" s="17"/>
      <c r="G4260" s="17"/>
      <c r="H4260" s="17"/>
      <c r="I4260" s="17"/>
      <c r="J4260" s="17"/>
      <c r="K4260" s="17"/>
      <c r="L4260" s="17"/>
      <c r="M4260" s="18"/>
    </row>
    <row r="4261" spans="1:13" x14ac:dyDescent="0.35">
      <c r="A4261" s="82"/>
      <c r="B4261" s="19"/>
      <c r="C4261" s="19"/>
      <c r="D4261" s="19"/>
      <c r="E4261" s="19"/>
      <c r="F4261" s="19"/>
      <c r="G4261" s="19"/>
      <c r="H4261" s="19"/>
      <c r="I4261" s="19"/>
      <c r="J4261" s="19"/>
      <c r="K4261" s="19"/>
      <c r="L4261" s="19"/>
      <c r="M4261" s="20"/>
    </row>
    <row r="4262" spans="1:13" x14ac:dyDescent="0.35">
      <c r="A4262" s="81"/>
      <c r="B4262" s="17"/>
      <c r="C4262" s="17"/>
      <c r="D4262" s="17"/>
      <c r="E4262" s="17"/>
      <c r="F4262" s="17"/>
      <c r="G4262" s="17"/>
      <c r="H4262" s="17"/>
      <c r="I4262" s="17"/>
      <c r="J4262" s="17"/>
      <c r="K4262" s="17"/>
      <c r="L4262" s="17"/>
      <c r="M4262" s="18"/>
    </row>
    <row r="4263" spans="1:13" x14ac:dyDescent="0.35">
      <c r="A4263" s="81"/>
      <c r="B4263" s="17"/>
      <c r="C4263" s="17"/>
      <c r="D4263" s="17"/>
      <c r="E4263" s="17"/>
      <c r="F4263" s="17"/>
      <c r="G4263" s="17"/>
      <c r="H4263" s="17"/>
      <c r="I4263" s="17"/>
      <c r="J4263" s="17"/>
      <c r="K4263" s="17"/>
      <c r="L4263" s="17"/>
      <c r="M4263" s="18"/>
    </row>
    <row r="4264" spans="1:13" x14ac:dyDescent="0.35">
      <c r="A4264" s="82"/>
      <c r="B4264" s="19"/>
      <c r="C4264" s="19"/>
      <c r="D4264" s="19"/>
      <c r="E4264" s="19"/>
      <c r="F4264" s="19"/>
      <c r="G4264" s="19"/>
      <c r="H4264" s="19"/>
      <c r="I4264" s="19"/>
      <c r="J4264" s="19"/>
      <c r="K4264" s="19"/>
      <c r="L4264" s="19"/>
      <c r="M4264" s="20"/>
    </row>
    <row r="4265" spans="1:13" x14ac:dyDescent="0.35">
      <c r="A4265" s="82"/>
      <c r="B4265" s="19"/>
      <c r="C4265" s="19"/>
      <c r="D4265" s="19"/>
      <c r="E4265" s="19"/>
      <c r="F4265" s="19"/>
      <c r="G4265" s="19"/>
      <c r="H4265" s="19"/>
      <c r="I4265" s="19"/>
      <c r="J4265" s="19"/>
      <c r="K4265" s="19"/>
      <c r="L4265" s="19"/>
      <c r="M4265" s="20"/>
    </row>
    <row r="4266" spans="1:13" x14ac:dyDescent="0.35">
      <c r="A4266" s="82"/>
      <c r="B4266" s="19"/>
      <c r="C4266" s="19"/>
      <c r="D4266" s="19"/>
      <c r="E4266" s="19"/>
      <c r="F4266" s="19"/>
      <c r="G4266" s="19"/>
      <c r="H4266" s="19"/>
      <c r="I4266" s="19"/>
      <c r="J4266" s="19"/>
      <c r="K4266" s="19"/>
      <c r="L4266" s="19"/>
      <c r="M4266" s="20"/>
    </row>
    <row r="4267" spans="1:13" x14ac:dyDescent="0.35">
      <c r="A4267" s="81"/>
      <c r="B4267" s="17"/>
      <c r="C4267" s="17"/>
      <c r="D4267" s="17"/>
      <c r="E4267" s="17"/>
      <c r="F4267" s="17"/>
      <c r="G4267" s="17"/>
      <c r="H4267" s="17"/>
      <c r="I4267" s="17"/>
      <c r="J4267" s="17"/>
      <c r="K4267" s="17"/>
      <c r="L4267" s="17"/>
      <c r="M4267" s="18"/>
    </row>
    <row r="4268" spans="1:13" x14ac:dyDescent="0.35">
      <c r="A4268" s="82"/>
      <c r="B4268" s="19"/>
      <c r="C4268" s="19"/>
      <c r="D4268" s="19"/>
      <c r="E4268" s="19"/>
      <c r="F4268" s="19"/>
      <c r="G4268" s="19"/>
      <c r="H4268" s="19"/>
      <c r="I4268" s="19"/>
      <c r="J4268" s="19"/>
      <c r="K4268" s="19"/>
      <c r="L4268" s="19"/>
      <c r="M4268" s="20"/>
    </row>
    <row r="4269" spans="1:13" x14ac:dyDescent="0.35">
      <c r="A4269" s="81"/>
      <c r="B4269" s="17"/>
      <c r="C4269" s="17"/>
      <c r="D4269" s="17"/>
      <c r="E4269" s="17"/>
      <c r="F4269" s="17"/>
      <c r="G4269" s="17"/>
      <c r="H4269" s="17"/>
      <c r="I4269" s="17"/>
      <c r="J4269" s="17"/>
      <c r="K4269" s="17"/>
      <c r="L4269" s="17"/>
      <c r="M4269" s="18"/>
    </row>
    <row r="4270" spans="1:13" x14ac:dyDescent="0.35">
      <c r="A4270" s="82"/>
      <c r="B4270" s="19"/>
      <c r="C4270" s="19"/>
      <c r="D4270" s="19"/>
      <c r="E4270" s="19"/>
      <c r="F4270" s="19"/>
      <c r="G4270" s="19"/>
      <c r="H4270" s="19"/>
      <c r="I4270" s="19"/>
      <c r="J4270" s="19"/>
      <c r="K4270" s="19"/>
      <c r="L4270" s="19"/>
      <c r="M4270" s="20"/>
    </row>
    <row r="4271" spans="1:13" x14ac:dyDescent="0.35">
      <c r="A4271" s="81"/>
      <c r="B4271" s="17"/>
      <c r="C4271" s="17"/>
      <c r="D4271" s="17"/>
      <c r="E4271" s="17"/>
      <c r="F4271" s="17"/>
      <c r="G4271" s="17"/>
      <c r="H4271" s="17"/>
      <c r="I4271" s="17"/>
      <c r="J4271" s="17"/>
      <c r="K4271" s="17"/>
      <c r="L4271" s="17"/>
      <c r="M4271" s="18"/>
    </row>
    <row r="4272" spans="1:13" x14ac:dyDescent="0.35">
      <c r="A4272" s="81"/>
      <c r="B4272" s="17"/>
      <c r="C4272" s="17"/>
      <c r="D4272" s="17"/>
      <c r="E4272" s="17"/>
      <c r="F4272" s="17"/>
      <c r="G4272" s="17"/>
      <c r="H4272" s="17"/>
      <c r="I4272" s="17"/>
      <c r="J4272" s="17"/>
      <c r="K4272" s="17"/>
      <c r="L4272" s="17"/>
      <c r="M4272" s="18"/>
    </row>
    <row r="4273" spans="1:13" x14ac:dyDescent="0.35">
      <c r="A4273" s="82"/>
      <c r="B4273" s="19"/>
      <c r="C4273" s="19"/>
      <c r="D4273" s="19"/>
      <c r="E4273" s="19"/>
      <c r="F4273" s="19"/>
      <c r="G4273" s="19"/>
      <c r="H4273" s="19"/>
      <c r="I4273" s="19"/>
      <c r="J4273" s="19"/>
      <c r="K4273" s="19"/>
      <c r="L4273" s="19"/>
      <c r="M4273" s="20"/>
    </row>
    <row r="4274" spans="1:13" x14ac:dyDescent="0.35">
      <c r="A4274" s="82"/>
      <c r="B4274" s="19"/>
      <c r="C4274" s="19"/>
      <c r="D4274" s="19"/>
      <c r="E4274" s="19"/>
      <c r="F4274" s="19"/>
      <c r="G4274" s="19"/>
      <c r="H4274" s="19"/>
      <c r="I4274" s="19"/>
      <c r="J4274" s="19"/>
      <c r="K4274" s="19"/>
      <c r="L4274" s="19"/>
      <c r="M4274" s="20"/>
    </row>
    <row r="4275" spans="1:13" x14ac:dyDescent="0.35">
      <c r="A4275" s="82"/>
      <c r="B4275" s="19"/>
      <c r="C4275" s="19"/>
      <c r="D4275" s="19"/>
      <c r="E4275" s="19"/>
      <c r="F4275" s="19"/>
      <c r="G4275" s="19"/>
      <c r="H4275" s="19"/>
      <c r="I4275" s="19"/>
      <c r="J4275" s="19"/>
      <c r="K4275" s="19"/>
      <c r="L4275" s="19"/>
      <c r="M4275" s="20"/>
    </row>
    <row r="4276" spans="1:13" x14ac:dyDescent="0.35">
      <c r="A4276" s="82"/>
      <c r="B4276" s="19"/>
      <c r="C4276" s="19"/>
      <c r="D4276" s="19"/>
      <c r="E4276" s="19"/>
      <c r="F4276" s="19"/>
      <c r="G4276" s="19"/>
      <c r="H4276" s="19"/>
      <c r="I4276" s="19"/>
      <c r="J4276" s="19"/>
      <c r="K4276" s="19"/>
      <c r="L4276" s="19"/>
      <c r="M4276" s="20"/>
    </row>
    <row r="4277" spans="1:13" x14ac:dyDescent="0.35">
      <c r="A4277" s="82"/>
      <c r="B4277" s="19"/>
      <c r="C4277" s="19"/>
      <c r="D4277" s="19"/>
      <c r="E4277" s="19"/>
      <c r="F4277" s="19"/>
      <c r="G4277" s="19"/>
      <c r="H4277" s="19"/>
      <c r="I4277" s="19"/>
      <c r="J4277" s="19"/>
      <c r="K4277" s="19"/>
      <c r="L4277" s="19"/>
      <c r="M4277" s="20"/>
    </row>
    <row r="4278" spans="1:13" x14ac:dyDescent="0.35">
      <c r="A4278" s="82"/>
      <c r="B4278" s="19"/>
      <c r="C4278" s="19"/>
      <c r="D4278" s="19"/>
      <c r="E4278" s="19"/>
      <c r="F4278" s="19"/>
      <c r="G4278" s="19"/>
      <c r="H4278" s="19"/>
      <c r="I4278" s="19"/>
      <c r="J4278" s="19"/>
      <c r="K4278" s="19"/>
      <c r="L4278" s="19"/>
      <c r="M4278" s="20"/>
    </row>
    <row r="4279" spans="1:13" x14ac:dyDescent="0.35">
      <c r="A4279" s="82"/>
      <c r="B4279" s="19"/>
      <c r="C4279" s="19"/>
      <c r="D4279" s="19"/>
      <c r="E4279" s="19"/>
      <c r="F4279" s="19"/>
      <c r="G4279" s="19"/>
      <c r="H4279" s="19"/>
      <c r="I4279" s="19"/>
      <c r="J4279" s="19"/>
      <c r="K4279" s="19"/>
      <c r="L4279" s="19"/>
      <c r="M4279" s="20"/>
    </row>
    <row r="4280" spans="1:13" x14ac:dyDescent="0.35">
      <c r="A4280" s="82"/>
      <c r="B4280" s="19"/>
      <c r="C4280" s="19"/>
      <c r="D4280" s="19"/>
      <c r="E4280" s="19"/>
      <c r="F4280" s="19"/>
      <c r="G4280" s="19"/>
      <c r="H4280" s="19"/>
      <c r="I4280" s="19"/>
      <c r="J4280" s="19"/>
      <c r="K4280" s="19"/>
      <c r="L4280" s="19"/>
      <c r="M4280" s="20"/>
    </row>
    <row r="4281" spans="1:13" x14ac:dyDescent="0.35">
      <c r="A4281" s="82"/>
      <c r="B4281" s="19"/>
      <c r="C4281" s="19"/>
      <c r="D4281" s="19"/>
      <c r="E4281" s="19"/>
      <c r="F4281" s="19"/>
      <c r="G4281" s="19"/>
      <c r="H4281" s="19"/>
      <c r="I4281" s="19"/>
      <c r="J4281" s="19"/>
      <c r="K4281" s="19"/>
      <c r="L4281" s="19"/>
      <c r="M4281" s="20"/>
    </row>
    <row r="4282" spans="1:13" x14ac:dyDescent="0.35">
      <c r="A4282" s="81"/>
      <c r="B4282" s="17"/>
      <c r="C4282" s="17"/>
      <c r="D4282" s="17"/>
      <c r="E4282" s="17"/>
      <c r="F4282" s="17"/>
      <c r="G4282" s="17"/>
      <c r="H4282" s="17"/>
      <c r="I4282" s="17"/>
      <c r="J4282" s="17"/>
      <c r="K4282" s="17"/>
      <c r="L4282" s="17"/>
      <c r="M4282" s="18"/>
    </row>
    <row r="4283" spans="1:13" x14ac:dyDescent="0.35">
      <c r="A4283" s="82"/>
      <c r="B4283" s="19"/>
      <c r="C4283" s="19"/>
      <c r="D4283" s="19"/>
      <c r="E4283" s="19"/>
      <c r="F4283" s="19"/>
      <c r="G4283" s="19"/>
      <c r="H4283" s="19"/>
      <c r="I4283" s="19"/>
      <c r="J4283" s="19"/>
      <c r="K4283" s="19"/>
      <c r="L4283" s="19"/>
      <c r="M4283" s="20"/>
    </row>
    <row r="4284" spans="1:13" x14ac:dyDescent="0.35">
      <c r="A4284" s="82"/>
      <c r="B4284" s="19"/>
      <c r="C4284" s="19"/>
      <c r="D4284" s="19"/>
      <c r="E4284" s="19"/>
      <c r="F4284" s="19"/>
      <c r="G4284" s="19"/>
      <c r="H4284" s="19"/>
      <c r="I4284" s="19"/>
      <c r="J4284" s="19"/>
      <c r="K4284" s="19"/>
      <c r="L4284" s="19"/>
      <c r="M4284" s="20"/>
    </row>
    <row r="4285" spans="1:13" x14ac:dyDescent="0.35">
      <c r="A4285" s="82"/>
      <c r="B4285" s="19"/>
      <c r="C4285" s="19"/>
      <c r="D4285" s="19"/>
      <c r="E4285" s="19"/>
      <c r="F4285" s="19"/>
      <c r="G4285" s="19"/>
      <c r="H4285" s="19"/>
      <c r="I4285" s="19"/>
      <c r="J4285" s="19"/>
      <c r="K4285" s="19"/>
      <c r="L4285" s="19"/>
      <c r="M4285" s="20"/>
    </row>
    <row r="4286" spans="1:13" x14ac:dyDescent="0.35">
      <c r="A4286" s="82"/>
      <c r="B4286" s="19"/>
      <c r="C4286" s="19"/>
      <c r="D4286" s="19"/>
      <c r="E4286" s="19"/>
      <c r="F4286" s="19"/>
      <c r="G4286" s="19"/>
      <c r="H4286" s="19"/>
      <c r="I4286" s="19"/>
      <c r="J4286" s="19"/>
      <c r="K4286" s="19"/>
      <c r="L4286" s="19"/>
      <c r="M4286" s="20"/>
    </row>
    <row r="4287" spans="1:13" x14ac:dyDescent="0.35">
      <c r="A4287" s="81"/>
      <c r="B4287" s="17"/>
      <c r="C4287" s="17"/>
      <c r="D4287" s="17"/>
      <c r="E4287" s="17"/>
      <c r="F4287" s="17"/>
      <c r="G4287" s="17"/>
      <c r="H4287" s="17"/>
      <c r="I4287" s="17"/>
      <c r="J4287" s="17"/>
      <c r="K4287" s="17"/>
      <c r="L4287" s="17"/>
      <c r="M4287" s="18"/>
    </row>
    <row r="4288" spans="1:13" x14ac:dyDescent="0.35">
      <c r="A4288" s="82"/>
      <c r="B4288" s="19"/>
      <c r="C4288" s="19"/>
      <c r="D4288" s="19"/>
      <c r="E4288" s="19"/>
      <c r="F4288" s="19"/>
      <c r="G4288" s="19"/>
      <c r="H4288" s="19"/>
      <c r="I4288" s="19"/>
      <c r="J4288" s="19"/>
      <c r="K4288" s="19"/>
      <c r="L4288" s="19"/>
      <c r="M4288" s="20"/>
    </row>
    <row r="4289" spans="1:13" x14ac:dyDescent="0.35">
      <c r="A4289" s="82"/>
      <c r="B4289" s="19"/>
      <c r="C4289" s="19"/>
      <c r="D4289" s="19"/>
      <c r="E4289" s="19"/>
      <c r="F4289" s="19"/>
      <c r="G4289" s="19"/>
      <c r="H4289" s="19"/>
      <c r="I4289" s="19"/>
      <c r="J4289" s="19"/>
      <c r="K4289" s="19"/>
      <c r="L4289" s="19"/>
      <c r="M4289" s="20"/>
    </row>
    <row r="4290" spans="1:13" x14ac:dyDescent="0.35">
      <c r="A4290" s="81"/>
      <c r="B4290" s="17"/>
      <c r="C4290" s="17"/>
      <c r="D4290" s="17"/>
      <c r="E4290" s="17"/>
      <c r="F4290" s="17"/>
      <c r="G4290" s="17"/>
      <c r="H4290" s="17"/>
      <c r="I4290" s="17"/>
      <c r="J4290" s="17"/>
      <c r="K4290" s="17"/>
      <c r="L4290" s="17"/>
      <c r="M4290" s="18"/>
    </row>
    <row r="4291" spans="1:13" x14ac:dyDescent="0.35">
      <c r="A4291" s="82"/>
      <c r="B4291" s="19"/>
      <c r="C4291" s="19"/>
      <c r="D4291" s="19"/>
      <c r="E4291" s="19"/>
      <c r="F4291" s="19"/>
      <c r="G4291" s="19"/>
      <c r="H4291" s="19"/>
      <c r="I4291" s="19"/>
      <c r="J4291" s="19"/>
      <c r="K4291" s="19"/>
      <c r="L4291" s="19"/>
      <c r="M4291" s="20"/>
    </row>
    <row r="4292" spans="1:13" x14ac:dyDescent="0.35">
      <c r="A4292" s="82"/>
      <c r="B4292" s="19"/>
      <c r="C4292" s="19"/>
      <c r="D4292" s="19"/>
      <c r="E4292" s="19"/>
      <c r="F4292" s="19"/>
      <c r="G4292" s="19"/>
      <c r="H4292" s="19"/>
      <c r="I4292" s="19"/>
      <c r="J4292" s="19"/>
      <c r="K4292" s="19"/>
      <c r="L4292" s="19"/>
      <c r="M4292" s="20"/>
    </row>
    <row r="4293" spans="1:13" x14ac:dyDescent="0.35">
      <c r="A4293" s="82"/>
      <c r="B4293" s="19"/>
      <c r="C4293" s="19"/>
      <c r="D4293" s="19"/>
      <c r="E4293" s="19"/>
      <c r="F4293" s="19"/>
      <c r="G4293" s="19"/>
      <c r="H4293" s="19"/>
      <c r="I4293" s="19"/>
      <c r="J4293" s="19"/>
      <c r="K4293" s="19"/>
      <c r="L4293" s="19"/>
      <c r="M4293" s="20"/>
    </row>
    <row r="4294" spans="1:13" x14ac:dyDescent="0.35">
      <c r="A4294" s="82"/>
      <c r="B4294" s="19"/>
      <c r="C4294" s="19"/>
      <c r="D4294" s="19"/>
      <c r="E4294" s="19"/>
      <c r="F4294" s="19"/>
      <c r="G4294" s="19"/>
      <c r="H4294" s="19"/>
      <c r="I4294" s="19"/>
      <c r="J4294" s="19"/>
      <c r="K4294" s="19"/>
      <c r="L4294" s="19"/>
      <c r="M4294" s="20"/>
    </row>
    <row r="4295" spans="1:13" x14ac:dyDescent="0.35">
      <c r="A4295" s="82"/>
      <c r="B4295" s="19"/>
      <c r="C4295" s="19"/>
      <c r="D4295" s="19"/>
      <c r="E4295" s="19"/>
      <c r="F4295" s="19"/>
      <c r="G4295" s="19"/>
      <c r="H4295" s="19"/>
      <c r="I4295" s="19"/>
      <c r="J4295" s="19"/>
      <c r="K4295" s="19"/>
      <c r="L4295" s="19"/>
      <c r="M4295" s="20"/>
    </row>
    <row r="4296" spans="1:13" x14ac:dyDescent="0.35">
      <c r="A4296" s="82"/>
      <c r="B4296" s="19"/>
      <c r="C4296" s="19"/>
      <c r="D4296" s="19"/>
      <c r="E4296" s="19"/>
      <c r="F4296" s="19"/>
      <c r="G4296" s="19"/>
      <c r="H4296" s="19"/>
      <c r="I4296" s="19"/>
      <c r="J4296" s="19"/>
      <c r="K4296" s="19"/>
      <c r="L4296" s="19"/>
      <c r="M4296" s="20"/>
    </row>
    <row r="4297" spans="1:13" x14ac:dyDescent="0.35">
      <c r="A4297" s="82"/>
      <c r="B4297" s="19"/>
      <c r="C4297" s="19"/>
      <c r="D4297" s="19"/>
      <c r="E4297" s="19"/>
      <c r="F4297" s="19"/>
      <c r="G4297" s="19"/>
      <c r="H4297" s="19"/>
      <c r="I4297" s="19"/>
      <c r="J4297" s="19"/>
      <c r="K4297" s="19"/>
      <c r="L4297" s="19"/>
      <c r="M4297" s="20"/>
    </row>
    <row r="4298" spans="1:13" x14ac:dyDescent="0.35">
      <c r="A4298" s="82"/>
      <c r="B4298" s="19"/>
      <c r="C4298" s="19"/>
      <c r="D4298" s="19"/>
      <c r="E4298" s="19"/>
      <c r="F4298" s="19"/>
      <c r="G4298" s="19"/>
      <c r="H4298" s="19"/>
      <c r="I4298" s="19"/>
      <c r="J4298" s="19"/>
      <c r="K4298" s="19"/>
      <c r="L4298" s="19"/>
      <c r="M4298" s="20"/>
    </row>
    <row r="4299" spans="1:13" x14ac:dyDescent="0.35">
      <c r="A4299" s="81"/>
      <c r="B4299" s="17"/>
      <c r="C4299" s="17"/>
      <c r="D4299" s="17"/>
      <c r="E4299" s="17"/>
      <c r="F4299" s="17"/>
      <c r="G4299" s="17"/>
      <c r="H4299" s="17"/>
      <c r="I4299" s="17"/>
      <c r="J4299" s="17"/>
      <c r="K4299" s="17"/>
      <c r="L4299" s="17"/>
      <c r="M4299" s="20"/>
    </row>
    <row r="4300" spans="1:13" x14ac:dyDescent="0.35">
      <c r="A4300" s="82"/>
      <c r="B4300" s="19"/>
      <c r="C4300" s="19"/>
      <c r="D4300" s="19"/>
      <c r="E4300" s="19"/>
      <c r="F4300" s="19"/>
      <c r="G4300" s="19"/>
      <c r="H4300" s="19"/>
      <c r="I4300" s="19"/>
      <c r="J4300" s="19"/>
      <c r="K4300" s="19"/>
      <c r="L4300" s="19"/>
      <c r="M4300" s="20"/>
    </row>
    <row r="4301" spans="1:13" x14ac:dyDescent="0.35">
      <c r="A4301" s="81"/>
      <c r="B4301" s="17"/>
      <c r="C4301" s="17"/>
      <c r="D4301" s="17"/>
      <c r="E4301" s="17"/>
      <c r="F4301" s="17"/>
      <c r="G4301" s="17"/>
      <c r="H4301" s="17"/>
      <c r="I4301" s="17"/>
      <c r="J4301" s="17"/>
      <c r="K4301" s="17"/>
      <c r="L4301" s="17"/>
      <c r="M4301" s="20"/>
    </row>
    <row r="4302" spans="1:13" x14ac:dyDescent="0.35">
      <c r="A4302" s="82"/>
      <c r="B4302" s="19"/>
      <c r="C4302" s="19"/>
      <c r="D4302" s="19"/>
      <c r="E4302" s="19"/>
      <c r="F4302" s="19"/>
      <c r="G4302" s="19"/>
      <c r="H4302" s="19"/>
      <c r="I4302" s="19"/>
      <c r="J4302" s="19"/>
      <c r="K4302" s="19"/>
      <c r="L4302" s="19"/>
      <c r="M4302" s="20"/>
    </row>
    <row r="4303" spans="1:13" x14ac:dyDescent="0.35">
      <c r="A4303" s="81"/>
      <c r="B4303" s="17"/>
      <c r="C4303" s="17"/>
      <c r="D4303" s="17"/>
      <c r="E4303" s="17"/>
      <c r="F4303" s="17"/>
      <c r="G4303" s="17"/>
      <c r="H4303" s="17"/>
      <c r="I4303" s="17"/>
      <c r="J4303" s="17"/>
      <c r="K4303" s="17"/>
      <c r="L4303" s="17"/>
      <c r="M4303" s="20"/>
    </row>
    <row r="4304" spans="1:13" x14ac:dyDescent="0.35">
      <c r="A4304" s="82"/>
      <c r="B4304" s="19"/>
      <c r="C4304" s="19"/>
      <c r="D4304" s="19"/>
      <c r="E4304" s="19"/>
      <c r="F4304" s="19"/>
      <c r="G4304" s="19"/>
      <c r="H4304" s="19"/>
      <c r="I4304" s="19"/>
      <c r="J4304" s="19"/>
      <c r="K4304" s="19"/>
      <c r="L4304" s="19"/>
      <c r="M4304" s="20"/>
    </row>
    <row r="4305" spans="1:13" x14ac:dyDescent="0.35">
      <c r="A4305" s="81"/>
      <c r="B4305" s="17"/>
      <c r="C4305" s="17"/>
      <c r="D4305" s="17"/>
      <c r="E4305" s="17"/>
      <c r="F4305" s="17"/>
      <c r="G4305" s="17"/>
      <c r="H4305" s="17"/>
      <c r="I4305" s="17"/>
      <c r="J4305" s="17"/>
      <c r="K4305" s="17"/>
      <c r="L4305" s="17"/>
      <c r="M4305" s="20"/>
    </row>
    <row r="4306" spans="1:13" x14ac:dyDescent="0.35">
      <c r="A4306" s="82"/>
      <c r="B4306" s="19"/>
      <c r="C4306" s="19"/>
      <c r="D4306" s="19"/>
      <c r="E4306" s="19"/>
      <c r="F4306" s="19"/>
      <c r="G4306" s="19"/>
      <c r="H4306" s="19"/>
      <c r="I4306" s="19"/>
      <c r="J4306" s="19"/>
      <c r="K4306" s="19"/>
      <c r="L4306" s="19"/>
      <c r="M4306" s="20"/>
    </row>
    <row r="4307" spans="1:13" x14ac:dyDescent="0.35">
      <c r="A4307" s="81"/>
      <c r="B4307" s="17"/>
      <c r="C4307" s="17"/>
      <c r="D4307" s="17"/>
      <c r="E4307" s="17"/>
      <c r="F4307" s="17"/>
      <c r="G4307" s="17"/>
      <c r="H4307" s="17"/>
      <c r="I4307" s="17"/>
      <c r="J4307" s="17"/>
      <c r="K4307" s="17"/>
      <c r="L4307" s="17"/>
      <c r="M4307" s="18"/>
    </row>
    <row r="4308" spans="1:13" x14ac:dyDescent="0.35">
      <c r="A4308" s="82"/>
      <c r="B4308" s="19"/>
      <c r="C4308" s="19"/>
      <c r="D4308" s="19"/>
      <c r="E4308" s="19"/>
      <c r="F4308" s="19"/>
      <c r="G4308" s="19"/>
      <c r="H4308" s="19"/>
      <c r="I4308" s="19"/>
      <c r="J4308" s="19"/>
      <c r="K4308" s="19"/>
      <c r="L4308" s="19"/>
      <c r="M4308" s="20"/>
    </row>
    <row r="4309" spans="1:13" x14ac:dyDescent="0.35">
      <c r="A4309" s="81"/>
      <c r="B4309" s="17"/>
      <c r="C4309" s="17"/>
      <c r="D4309" s="17"/>
      <c r="E4309" s="17"/>
      <c r="F4309" s="17"/>
      <c r="G4309" s="17"/>
      <c r="H4309" s="17"/>
      <c r="I4309" s="17"/>
      <c r="J4309" s="17"/>
      <c r="K4309" s="17"/>
      <c r="L4309" s="17"/>
      <c r="M4309" s="18"/>
    </row>
    <row r="4310" spans="1:13" x14ac:dyDescent="0.35">
      <c r="A4310" s="82"/>
      <c r="B4310" s="19"/>
      <c r="C4310" s="19"/>
      <c r="D4310" s="19"/>
      <c r="E4310" s="19"/>
      <c r="F4310" s="19"/>
      <c r="G4310" s="19"/>
      <c r="H4310" s="19"/>
      <c r="I4310" s="19"/>
      <c r="J4310" s="19"/>
      <c r="K4310" s="19"/>
      <c r="L4310" s="19"/>
      <c r="M4310" s="20"/>
    </row>
    <row r="4311" spans="1:13" x14ac:dyDescent="0.35">
      <c r="A4311" s="81"/>
      <c r="B4311" s="17"/>
      <c r="C4311" s="17"/>
      <c r="D4311" s="17"/>
      <c r="E4311" s="17"/>
      <c r="F4311" s="17"/>
      <c r="G4311" s="17"/>
      <c r="H4311" s="17"/>
      <c r="I4311" s="17"/>
      <c r="J4311" s="17"/>
      <c r="K4311" s="17"/>
      <c r="L4311" s="17"/>
      <c r="M4311" s="18"/>
    </row>
    <row r="4312" spans="1:13" x14ac:dyDescent="0.35">
      <c r="A4312" s="81"/>
      <c r="B4312" s="17"/>
      <c r="C4312" s="17"/>
      <c r="D4312" s="17"/>
      <c r="E4312" s="17"/>
      <c r="F4312" s="17"/>
      <c r="G4312" s="17"/>
      <c r="H4312" s="17"/>
      <c r="I4312" s="17"/>
      <c r="J4312" s="17"/>
      <c r="K4312" s="17"/>
      <c r="L4312" s="17"/>
      <c r="M4312" s="18"/>
    </row>
    <row r="4313" spans="1:13" x14ac:dyDescent="0.35">
      <c r="A4313" s="82"/>
      <c r="B4313" s="19"/>
      <c r="C4313" s="19"/>
      <c r="D4313" s="19"/>
      <c r="E4313" s="19"/>
      <c r="F4313" s="19"/>
      <c r="G4313" s="19"/>
      <c r="H4313" s="19"/>
      <c r="I4313" s="19"/>
      <c r="J4313" s="19"/>
      <c r="K4313" s="19"/>
      <c r="L4313" s="19"/>
      <c r="M4313" s="20"/>
    </row>
    <row r="4314" spans="1:13" x14ac:dyDescent="0.35">
      <c r="A4314" s="82"/>
      <c r="B4314" s="19"/>
      <c r="C4314" s="19"/>
      <c r="D4314" s="19"/>
      <c r="E4314" s="19"/>
      <c r="F4314" s="19"/>
      <c r="G4314" s="19"/>
      <c r="H4314" s="19"/>
      <c r="I4314" s="19"/>
      <c r="J4314" s="19"/>
      <c r="K4314" s="19"/>
      <c r="L4314" s="19"/>
      <c r="M4314" s="20"/>
    </row>
    <row r="4315" spans="1:13" x14ac:dyDescent="0.35">
      <c r="A4315" s="81"/>
      <c r="B4315" s="17"/>
      <c r="C4315" s="17"/>
      <c r="D4315" s="17"/>
      <c r="E4315" s="17"/>
      <c r="F4315" s="17"/>
      <c r="G4315" s="17"/>
      <c r="H4315" s="17"/>
      <c r="I4315" s="17"/>
      <c r="J4315" s="17"/>
      <c r="K4315" s="17"/>
      <c r="L4315" s="17"/>
      <c r="M4315" s="18"/>
    </row>
    <row r="4316" spans="1:13" x14ac:dyDescent="0.35">
      <c r="A4316" s="81"/>
      <c r="B4316" s="17"/>
      <c r="C4316" s="17"/>
      <c r="D4316" s="17"/>
      <c r="E4316" s="17"/>
      <c r="F4316" s="17"/>
      <c r="G4316" s="17"/>
      <c r="H4316" s="17"/>
      <c r="I4316" s="17"/>
      <c r="J4316" s="17"/>
      <c r="K4316" s="17"/>
      <c r="L4316" s="17"/>
      <c r="M4316" s="18"/>
    </row>
    <row r="4317" spans="1:13" x14ac:dyDescent="0.35">
      <c r="A4317" s="82"/>
      <c r="B4317" s="19"/>
      <c r="C4317" s="19"/>
      <c r="D4317" s="19"/>
      <c r="E4317" s="19"/>
      <c r="F4317" s="19"/>
      <c r="G4317" s="19"/>
      <c r="H4317" s="19"/>
      <c r="I4317" s="19"/>
      <c r="J4317" s="19"/>
      <c r="K4317" s="19"/>
      <c r="L4317" s="19"/>
      <c r="M4317" s="20"/>
    </row>
    <row r="4318" spans="1:13" x14ac:dyDescent="0.35">
      <c r="A4318" s="82"/>
      <c r="B4318" s="19"/>
      <c r="C4318" s="19"/>
      <c r="D4318" s="19"/>
      <c r="E4318" s="19"/>
      <c r="F4318" s="19"/>
      <c r="G4318" s="19"/>
      <c r="H4318" s="19"/>
      <c r="I4318" s="19"/>
      <c r="J4318" s="19"/>
      <c r="K4318" s="19"/>
      <c r="L4318" s="19"/>
      <c r="M4318" s="20"/>
    </row>
    <row r="4319" spans="1:13" x14ac:dyDescent="0.35">
      <c r="A4319" s="82"/>
      <c r="B4319" s="19"/>
      <c r="C4319" s="19"/>
      <c r="D4319" s="19"/>
      <c r="E4319" s="19"/>
      <c r="F4319" s="19"/>
      <c r="G4319" s="19"/>
      <c r="H4319" s="19"/>
      <c r="I4319" s="19"/>
      <c r="J4319" s="19"/>
      <c r="K4319" s="19"/>
      <c r="L4319" s="19"/>
      <c r="M4319" s="20"/>
    </row>
    <row r="4320" spans="1:13" x14ac:dyDescent="0.35">
      <c r="A4320" s="81"/>
      <c r="B4320" s="17"/>
      <c r="C4320" s="17"/>
      <c r="D4320" s="17"/>
      <c r="E4320" s="17"/>
      <c r="F4320" s="17"/>
      <c r="G4320" s="17"/>
      <c r="H4320" s="17"/>
      <c r="I4320" s="17"/>
      <c r="J4320" s="17"/>
      <c r="K4320" s="17"/>
      <c r="L4320" s="17"/>
      <c r="M4320" s="18"/>
    </row>
    <row r="4321" spans="1:13" x14ac:dyDescent="0.35">
      <c r="A4321" s="81"/>
      <c r="B4321" s="17"/>
      <c r="C4321" s="17"/>
      <c r="D4321" s="17"/>
      <c r="E4321" s="17"/>
      <c r="F4321" s="17"/>
      <c r="G4321" s="17"/>
      <c r="H4321" s="17"/>
      <c r="I4321" s="17"/>
      <c r="J4321" s="17"/>
      <c r="K4321" s="17"/>
      <c r="L4321" s="17"/>
      <c r="M4321" s="18"/>
    </row>
    <row r="4322" spans="1:13" x14ac:dyDescent="0.35">
      <c r="A4322" s="81"/>
      <c r="B4322" s="17"/>
      <c r="C4322" s="17"/>
      <c r="D4322" s="17"/>
      <c r="E4322" s="17"/>
      <c r="F4322" s="17"/>
      <c r="G4322" s="17"/>
      <c r="H4322" s="17"/>
      <c r="I4322" s="17"/>
      <c r="J4322" s="17"/>
      <c r="K4322" s="17"/>
      <c r="L4322" s="17"/>
      <c r="M4322" s="18"/>
    </row>
    <row r="4323" spans="1:13" x14ac:dyDescent="0.35">
      <c r="A4323" s="81"/>
      <c r="B4323" s="17"/>
      <c r="C4323" s="17"/>
      <c r="D4323" s="17"/>
      <c r="E4323" s="17"/>
      <c r="F4323" s="17"/>
      <c r="G4323" s="17"/>
      <c r="H4323" s="17"/>
      <c r="I4323" s="17"/>
      <c r="J4323" s="17"/>
      <c r="K4323" s="17"/>
      <c r="L4323" s="17"/>
      <c r="M4323" s="18"/>
    </row>
    <row r="4324" spans="1:13" x14ac:dyDescent="0.35">
      <c r="A4324" s="81"/>
      <c r="B4324" s="17"/>
      <c r="C4324" s="17"/>
      <c r="D4324" s="17"/>
      <c r="E4324" s="17"/>
      <c r="F4324" s="17"/>
      <c r="G4324" s="17"/>
      <c r="H4324" s="17"/>
      <c r="I4324" s="17"/>
      <c r="J4324" s="17"/>
      <c r="K4324" s="17"/>
      <c r="L4324" s="17"/>
      <c r="M4324" s="18"/>
    </row>
    <row r="4325" spans="1:13" x14ac:dyDescent="0.35">
      <c r="A4325" s="82"/>
      <c r="B4325" s="19"/>
      <c r="C4325" s="19"/>
      <c r="D4325" s="19"/>
      <c r="E4325" s="19"/>
      <c r="F4325" s="19"/>
      <c r="G4325" s="19"/>
      <c r="H4325" s="19"/>
      <c r="I4325" s="19"/>
      <c r="J4325" s="19"/>
      <c r="K4325" s="19"/>
      <c r="L4325" s="19"/>
      <c r="M4325" s="20"/>
    </row>
    <row r="4326" spans="1:13" x14ac:dyDescent="0.35">
      <c r="A4326" s="82"/>
      <c r="B4326" s="19"/>
      <c r="C4326" s="19"/>
      <c r="D4326" s="19"/>
      <c r="E4326" s="19"/>
      <c r="F4326" s="19"/>
      <c r="G4326" s="19"/>
      <c r="H4326" s="19"/>
      <c r="I4326" s="19"/>
      <c r="J4326" s="19"/>
      <c r="K4326" s="19"/>
      <c r="L4326" s="19"/>
      <c r="M4326" s="20"/>
    </row>
    <row r="4327" spans="1:13" x14ac:dyDescent="0.35">
      <c r="A4327" s="81"/>
      <c r="B4327" s="17"/>
      <c r="C4327" s="17"/>
      <c r="D4327" s="17"/>
      <c r="E4327" s="17"/>
      <c r="F4327" s="17"/>
      <c r="G4327" s="17"/>
      <c r="H4327" s="17"/>
      <c r="I4327" s="17"/>
      <c r="J4327" s="17"/>
      <c r="K4327" s="17"/>
      <c r="L4327" s="17"/>
      <c r="M4327" s="18"/>
    </row>
    <row r="4328" spans="1:13" x14ac:dyDescent="0.35">
      <c r="A4328" s="82"/>
      <c r="B4328" s="19"/>
      <c r="C4328" s="19"/>
      <c r="D4328" s="19"/>
      <c r="E4328" s="19"/>
      <c r="F4328" s="19"/>
      <c r="G4328" s="19"/>
      <c r="H4328" s="19"/>
      <c r="I4328" s="19"/>
      <c r="J4328" s="19"/>
      <c r="K4328" s="19"/>
      <c r="L4328" s="19"/>
      <c r="M4328" s="20"/>
    </row>
    <row r="4329" spans="1:13" x14ac:dyDescent="0.35">
      <c r="A4329" s="81"/>
      <c r="B4329" s="17"/>
      <c r="C4329" s="17"/>
      <c r="D4329" s="17"/>
      <c r="E4329" s="17"/>
      <c r="F4329" s="17"/>
      <c r="G4329" s="17"/>
      <c r="H4329" s="17"/>
      <c r="I4329" s="17"/>
      <c r="J4329" s="17"/>
      <c r="K4329" s="17"/>
      <c r="L4329" s="17"/>
      <c r="M4329" s="18"/>
    </row>
    <row r="4330" spans="1:13" x14ac:dyDescent="0.35">
      <c r="A4330" s="82"/>
      <c r="B4330" s="19"/>
      <c r="C4330" s="19"/>
      <c r="D4330" s="19"/>
      <c r="E4330" s="19"/>
      <c r="F4330" s="19"/>
      <c r="G4330" s="19"/>
      <c r="H4330" s="19"/>
      <c r="I4330" s="19"/>
      <c r="J4330" s="19"/>
      <c r="K4330" s="19"/>
      <c r="L4330" s="19"/>
      <c r="M4330" s="20"/>
    </row>
    <row r="4331" spans="1:13" x14ac:dyDescent="0.35">
      <c r="A4331" s="81"/>
      <c r="B4331" s="17"/>
      <c r="C4331" s="17"/>
      <c r="D4331" s="17"/>
      <c r="E4331" s="17"/>
      <c r="F4331" s="17"/>
      <c r="G4331" s="17"/>
      <c r="H4331" s="17"/>
      <c r="I4331" s="17"/>
      <c r="J4331" s="17"/>
      <c r="K4331" s="17"/>
      <c r="L4331" s="17"/>
      <c r="M4331" s="18"/>
    </row>
    <row r="4332" spans="1:13" x14ac:dyDescent="0.35">
      <c r="A4332" s="82"/>
      <c r="B4332" s="19"/>
      <c r="C4332" s="19"/>
      <c r="D4332" s="19"/>
      <c r="E4332" s="19"/>
      <c r="F4332" s="19"/>
      <c r="G4332" s="19"/>
      <c r="H4332" s="19"/>
      <c r="I4332" s="19"/>
      <c r="J4332" s="19"/>
      <c r="K4332" s="19"/>
      <c r="L4332" s="19"/>
      <c r="M4332" s="20"/>
    </row>
    <row r="4333" spans="1:13" x14ac:dyDescent="0.35">
      <c r="A4333" s="81"/>
      <c r="B4333" s="17"/>
      <c r="C4333" s="17"/>
      <c r="D4333" s="17"/>
      <c r="E4333" s="17"/>
      <c r="F4333" s="17"/>
      <c r="G4333" s="17"/>
      <c r="H4333" s="17"/>
      <c r="I4333" s="17"/>
      <c r="J4333" s="17"/>
      <c r="K4333" s="17"/>
      <c r="L4333" s="17"/>
      <c r="M4333" s="18"/>
    </row>
    <row r="4334" spans="1:13" x14ac:dyDescent="0.35">
      <c r="A4334" s="82"/>
      <c r="B4334" s="19"/>
      <c r="C4334" s="19"/>
      <c r="D4334" s="19"/>
      <c r="E4334" s="19"/>
      <c r="F4334" s="19"/>
      <c r="G4334" s="19"/>
      <c r="H4334" s="19"/>
      <c r="I4334" s="19"/>
      <c r="J4334" s="19"/>
      <c r="K4334" s="19"/>
      <c r="L4334" s="19"/>
      <c r="M4334" s="20"/>
    </row>
    <row r="4335" spans="1:13" x14ac:dyDescent="0.35">
      <c r="A4335" s="81"/>
      <c r="B4335" s="17"/>
      <c r="C4335" s="17"/>
      <c r="D4335" s="17"/>
      <c r="E4335" s="17"/>
      <c r="F4335" s="17"/>
      <c r="G4335" s="17"/>
      <c r="H4335" s="17"/>
      <c r="I4335" s="17"/>
      <c r="J4335" s="17"/>
      <c r="K4335" s="17"/>
      <c r="L4335" s="17"/>
      <c r="M4335" s="18"/>
    </row>
    <row r="4336" spans="1:13" x14ac:dyDescent="0.35">
      <c r="A4336" s="82"/>
      <c r="B4336" s="19"/>
      <c r="C4336" s="19"/>
      <c r="D4336" s="19"/>
      <c r="E4336" s="19"/>
      <c r="F4336" s="19"/>
      <c r="G4336" s="19"/>
      <c r="H4336" s="19"/>
      <c r="I4336" s="19"/>
      <c r="J4336" s="19"/>
      <c r="K4336" s="19"/>
      <c r="L4336" s="19"/>
      <c r="M4336" s="20"/>
    </row>
    <row r="4337" spans="1:13" x14ac:dyDescent="0.35">
      <c r="A4337" s="81"/>
      <c r="B4337" s="17"/>
      <c r="C4337" s="17"/>
      <c r="D4337" s="17"/>
      <c r="E4337" s="17"/>
      <c r="F4337" s="17"/>
      <c r="G4337" s="17"/>
      <c r="H4337" s="17"/>
      <c r="I4337" s="17"/>
      <c r="J4337" s="17"/>
      <c r="K4337" s="17"/>
      <c r="L4337" s="17"/>
      <c r="M4337" s="18"/>
    </row>
    <row r="4338" spans="1:13" x14ac:dyDescent="0.35">
      <c r="A4338" s="82"/>
      <c r="B4338" s="19"/>
      <c r="C4338" s="19"/>
      <c r="D4338" s="19"/>
      <c r="E4338" s="19"/>
      <c r="F4338" s="19"/>
      <c r="G4338" s="19"/>
      <c r="H4338" s="19"/>
      <c r="I4338" s="19"/>
      <c r="J4338" s="19"/>
      <c r="K4338" s="19"/>
      <c r="L4338" s="19"/>
      <c r="M4338" s="20"/>
    </row>
    <row r="4339" spans="1:13" x14ac:dyDescent="0.35">
      <c r="A4339" s="82"/>
      <c r="B4339" s="19"/>
      <c r="C4339" s="19"/>
      <c r="D4339" s="19"/>
      <c r="E4339" s="19"/>
      <c r="F4339" s="19"/>
      <c r="G4339" s="19"/>
      <c r="H4339" s="19"/>
      <c r="I4339" s="19"/>
      <c r="J4339" s="19"/>
      <c r="K4339" s="19"/>
      <c r="L4339" s="19"/>
      <c r="M4339" s="20"/>
    </row>
    <row r="4340" spans="1:13" x14ac:dyDescent="0.35">
      <c r="A4340" s="82"/>
      <c r="B4340" s="19"/>
      <c r="C4340" s="19"/>
      <c r="D4340" s="19"/>
      <c r="E4340" s="19"/>
      <c r="F4340" s="19"/>
      <c r="G4340" s="19"/>
      <c r="H4340" s="19"/>
      <c r="I4340" s="19"/>
      <c r="J4340" s="19"/>
      <c r="K4340" s="19"/>
      <c r="L4340" s="19"/>
      <c r="M4340" s="20"/>
    </row>
    <row r="4341" spans="1:13" x14ac:dyDescent="0.35">
      <c r="A4341" s="82"/>
      <c r="B4341" s="19"/>
      <c r="C4341" s="19"/>
      <c r="D4341" s="19"/>
      <c r="E4341" s="19"/>
      <c r="F4341" s="19"/>
      <c r="G4341" s="19"/>
      <c r="H4341" s="19"/>
      <c r="I4341" s="19"/>
      <c r="J4341" s="19"/>
      <c r="K4341" s="19"/>
      <c r="L4341" s="19"/>
      <c r="M4341" s="20"/>
    </row>
    <row r="4342" spans="1:13" x14ac:dyDescent="0.35">
      <c r="A4342" s="82"/>
      <c r="B4342" s="19"/>
      <c r="C4342" s="19"/>
      <c r="D4342" s="19"/>
      <c r="E4342" s="19"/>
      <c r="F4342" s="19"/>
      <c r="G4342" s="19"/>
      <c r="H4342" s="19"/>
      <c r="I4342" s="19"/>
      <c r="J4342" s="19"/>
      <c r="K4342" s="19"/>
      <c r="L4342" s="19"/>
      <c r="M4342" s="20"/>
    </row>
    <row r="4343" spans="1:13" x14ac:dyDescent="0.35">
      <c r="A4343" s="85"/>
      <c r="B4343" s="23"/>
      <c r="C4343" s="23"/>
      <c r="D4343" s="23"/>
      <c r="E4343" s="23"/>
      <c r="F4343" s="23"/>
      <c r="G4343" s="23"/>
      <c r="H4343" s="23"/>
      <c r="I4343" s="23"/>
      <c r="J4343" s="23"/>
      <c r="K4343" s="23"/>
      <c r="L4343" s="23"/>
      <c r="M4343" s="24"/>
    </row>
    <row r="4344" spans="1:13" x14ac:dyDescent="0.35">
      <c r="A4344" s="86"/>
      <c r="B4344" s="21"/>
      <c r="C4344" s="21"/>
      <c r="D4344" s="21"/>
      <c r="E4344" s="21"/>
      <c r="F4344" s="21"/>
      <c r="G4344" s="21"/>
      <c r="H4344" s="21"/>
      <c r="I4344" s="21"/>
      <c r="J4344" s="21"/>
      <c r="K4344" s="21"/>
      <c r="L4344" s="21"/>
      <c r="M4344" s="22"/>
    </row>
    <row r="4345" spans="1:13" x14ac:dyDescent="0.35">
      <c r="A4345" s="85"/>
      <c r="B4345" s="23"/>
      <c r="C4345" s="23"/>
      <c r="D4345" s="23"/>
      <c r="E4345" s="23"/>
      <c r="F4345" s="23"/>
      <c r="G4345" s="23"/>
      <c r="H4345" s="23"/>
      <c r="I4345" s="23"/>
      <c r="J4345" s="23"/>
      <c r="K4345" s="23"/>
      <c r="L4345" s="23"/>
      <c r="M4345" s="24"/>
    </row>
    <row r="4346" spans="1:13" x14ac:dyDescent="0.35">
      <c r="A4346" s="86"/>
      <c r="B4346" s="21"/>
      <c r="C4346" s="21"/>
      <c r="D4346" s="21"/>
      <c r="E4346" s="21"/>
      <c r="F4346" s="21"/>
      <c r="G4346" s="21"/>
      <c r="H4346" s="21"/>
      <c r="I4346" s="21"/>
      <c r="J4346" s="21"/>
      <c r="K4346" s="21"/>
      <c r="L4346" s="21"/>
      <c r="M4346" s="22"/>
    </row>
    <row r="4347" spans="1:13" x14ac:dyDescent="0.35">
      <c r="A4347" s="85"/>
      <c r="B4347" s="23"/>
      <c r="C4347" s="23"/>
      <c r="D4347" s="23"/>
      <c r="E4347" s="23"/>
      <c r="F4347" s="23"/>
      <c r="G4347" s="23"/>
      <c r="H4347" s="23"/>
      <c r="I4347" s="23"/>
      <c r="J4347" s="23"/>
      <c r="K4347" s="23"/>
      <c r="L4347" s="23"/>
      <c r="M4347" s="24"/>
    </row>
    <row r="4348" spans="1:13" x14ac:dyDescent="0.35">
      <c r="A4348" s="86"/>
      <c r="B4348" s="21"/>
      <c r="C4348" s="21"/>
      <c r="D4348" s="21"/>
      <c r="E4348" s="21"/>
      <c r="F4348" s="21"/>
      <c r="G4348" s="21"/>
      <c r="H4348" s="21"/>
      <c r="I4348" s="21"/>
      <c r="J4348" s="21"/>
      <c r="K4348" s="21"/>
      <c r="L4348" s="21"/>
      <c r="M4348" s="22"/>
    </row>
    <row r="4349" spans="1:13" x14ac:dyDescent="0.35">
      <c r="A4349" s="86"/>
      <c r="B4349" s="21"/>
      <c r="C4349" s="21"/>
      <c r="D4349" s="21"/>
      <c r="E4349" s="21"/>
      <c r="F4349" s="21"/>
      <c r="G4349" s="21"/>
      <c r="H4349" s="21"/>
      <c r="I4349" s="21"/>
      <c r="J4349" s="21"/>
      <c r="K4349" s="21"/>
      <c r="L4349" s="21"/>
      <c r="M4349" s="22"/>
    </row>
    <row r="4350" spans="1:13" x14ac:dyDescent="0.35">
      <c r="A4350" s="85"/>
      <c r="B4350" s="23"/>
      <c r="C4350" s="23"/>
      <c r="D4350" s="23"/>
      <c r="E4350" s="23"/>
      <c r="F4350" s="23"/>
      <c r="G4350" s="23"/>
      <c r="H4350" s="23"/>
      <c r="I4350" s="23"/>
      <c r="J4350" s="23"/>
      <c r="K4350" s="23"/>
      <c r="L4350" s="23"/>
      <c r="M4350" s="24"/>
    </row>
    <row r="4351" spans="1:13" x14ac:dyDescent="0.35">
      <c r="A4351" s="85"/>
      <c r="B4351" s="23"/>
      <c r="C4351" s="23"/>
      <c r="D4351" s="23"/>
      <c r="E4351" s="23"/>
      <c r="F4351" s="23"/>
      <c r="G4351" s="23"/>
      <c r="H4351" s="23"/>
      <c r="I4351" s="23"/>
      <c r="J4351" s="23"/>
      <c r="K4351" s="23"/>
      <c r="L4351" s="23"/>
      <c r="M4351" s="24"/>
    </row>
    <row r="4352" spans="1:13" x14ac:dyDescent="0.35">
      <c r="A4352" s="85"/>
      <c r="B4352" s="23"/>
      <c r="C4352" s="23"/>
      <c r="D4352" s="23"/>
      <c r="E4352" s="23"/>
      <c r="F4352" s="23"/>
      <c r="G4352" s="23"/>
      <c r="H4352" s="23"/>
      <c r="I4352" s="23"/>
      <c r="J4352" s="23"/>
      <c r="K4352" s="23"/>
      <c r="L4352" s="23"/>
      <c r="M4352" s="24"/>
    </row>
    <row r="4353" spans="1:13" x14ac:dyDescent="0.35">
      <c r="A4353" s="86"/>
      <c r="B4353" s="21"/>
      <c r="C4353" s="21"/>
      <c r="D4353" s="21"/>
      <c r="E4353" s="21"/>
      <c r="F4353" s="21"/>
      <c r="G4353" s="21"/>
      <c r="H4353" s="21"/>
      <c r="I4353" s="21"/>
      <c r="J4353" s="21"/>
      <c r="K4353" s="21"/>
      <c r="L4353" s="21"/>
      <c r="M4353" s="22"/>
    </row>
    <row r="4354" spans="1:13" x14ac:dyDescent="0.35">
      <c r="A4354" s="86"/>
      <c r="B4354" s="21"/>
      <c r="C4354" s="21"/>
      <c r="D4354" s="21"/>
      <c r="E4354" s="21"/>
      <c r="F4354" s="21"/>
      <c r="G4354" s="21"/>
      <c r="H4354" s="21"/>
      <c r="I4354" s="21"/>
      <c r="J4354" s="21"/>
      <c r="K4354" s="21"/>
      <c r="L4354" s="21"/>
      <c r="M4354" s="22"/>
    </row>
    <row r="4355" spans="1:13" x14ac:dyDescent="0.35">
      <c r="A4355" s="85"/>
      <c r="B4355" s="23"/>
      <c r="C4355" s="23"/>
      <c r="D4355" s="23"/>
      <c r="E4355" s="23"/>
      <c r="F4355" s="23"/>
      <c r="G4355" s="23"/>
      <c r="H4355" s="23"/>
      <c r="I4355" s="23"/>
      <c r="J4355" s="23"/>
      <c r="K4355" s="23"/>
      <c r="L4355" s="23"/>
      <c r="M4355" s="24"/>
    </row>
    <row r="4356" spans="1:13" x14ac:dyDescent="0.35">
      <c r="A4356" s="86"/>
      <c r="B4356" s="21"/>
      <c r="C4356" s="21"/>
      <c r="D4356" s="21"/>
      <c r="E4356" s="21"/>
      <c r="F4356" s="21"/>
      <c r="G4356" s="21"/>
      <c r="H4356" s="21"/>
      <c r="I4356" s="21"/>
      <c r="J4356" s="21"/>
      <c r="K4356" s="21"/>
      <c r="L4356" s="21"/>
      <c r="M4356" s="22"/>
    </row>
    <row r="4357" spans="1:13" x14ac:dyDescent="0.35">
      <c r="A4357" s="85"/>
      <c r="B4357" s="23"/>
      <c r="C4357" s="23"/>
      <c r="D4357" s="23"/>
      <c r="E4357" s="23"/>
      <c r="F4357" s="23"/>
      <c r="G4357" s="23"/>
      <c r="H4357" s="23"/>
      <c r="I4357" s="23"/>
      <c r="J4357" s="23"/>
      <c r="K4357" s="23"/>
      <c r="L4357" s="23"/>
      <c r="M4357" s="24"/>
    </row>
    <row r="4358" spans="1:13" x14ac:dyDescent="0.35">
      <c r="A4358" s="85"/>
      <c r="B4358" s="23"/>
      <c r="C4358" s="23"/>
      <c r="D4358" s="23"/>
      <c r="E4358" s="23"/>
      <c r="F4358" s="23"/>
      <c r="G4358" s="23"/>
      <c r="H4358" s="23"/>
      <c r="I4358" s="23"/>
      <c r="J4358" s="23"/>
      <c r="K4358" s="23"/>
      <c r="L4358" s="23"/>
      <c r="M4358" s="24"/>
    </row>
    <row r="4359" spans="1:13" x14ac:dyDescent="0.35">
      <c r="A4359" s="86"/>
      <c r="B4359" s="21"/>
      <c r="C4359" s="21"/>
      <c r="D4359" s="21"/>
      <c r="E4359" s="21"/>
      <c r="F4359" s="21"/>
      <c r="G4359" s="21"/>
      <c r="H4359" s="21"/>
      <c r="I4359" s="21"/>
      <c r="J4359" s="21"/>
      <c r="K4359" s="21"/>
      <c r="L4359" s="21"/>
      <c r="M4359" s="22"/>
    </row>
    <row r="4360" spans="1:13" x14ac:dyDescent="0.35">
      <c r="A4360" s="86"/>
      <c r="B4360" s="21"/>
      <c r="C4360" s="21"/>
      <c r="D4360" s="21"/>
      <c r="E4360" s="21"/>
      <c r="F4360" s="21"/>
      <c r="G4360" s="21"/>
      <c r="H4360" s="21"/>
      <c r="I4360" s="21"/>
      <c r="J4360" s="21"/>
      <c r="K4360" s="21"/>
      <c r="L4360" s="21"/>
      <c r="M4360" s="22"/>
    </row>
    <row r="4361" spans="1:13" x14ac:dyDescent="0.35">
      <c r="A4361" s="85"/>
      <c r="B4361" s="23"/>
      <c r="C4361" s="23"/>
      <c r="D4361" s="23"/>
      <c r="E4361" s="23"/>
      <c r="F4361" s="23"/>
      <c r="G4361" s="23"/>
      <c r="H4361" s="23"/>
      <c r="I4361" s="23"/>
      <c r="J4361" s="23"/>
      <c r="K4361" s="23"/>
      <c r="L4361" s="23"/>
      <c r="M4361" s="24"/>
    </row>
    <row r="4362" spans="1:13" x14ac:dyDescent="0.35">
      <c r="A4362" s="85"/>
      <c r="B4362" s="23"/>
      <c r="C4362" s="23"/>
      <c r="D4362" s="23"/>
      <c r="E4362" s="23"/>
      <c r="F4362" s="23"/>
      <c r="G4362" s="23"/>
      <c r="H4362" s="23"/>
      <c r="I4362" s="23"/>
      <c r="J4362" s="23"/>
      <c r="K4362" s="23"/>
      <c r="L4362" s="23"/>
      <c r="M4362" s="24"/>
    </row>
    <row r="4363" spans="1:13" x14ac:dyDescent="0.35">
      <c r="A4363" s="86"/>
      <c r="B4363" s="21"/>
      <c r="C4363" s="21"/>
      <c r="D4363" s="21"/>
      <c r="E4363" s="21"/>
      <c r="F4363" s="21"/>
      <c r="G4363" s="21"/>
      <c r="H4363" s="21"/>
      <c r="I4363" s="21"/>
      <c r="J4363" s="21"/>
      <c r="K4363" s="21"/>
      <c r="L4363" s="21"/>
      <c r="M4363" s="22"/>
    </row>
    <row r="4364" spans="1:13" x14ac:dyDescent="0.35">
      <c r="A4364" s="85"/>
      <c r="B4364" s="23"/>
      <c r="C4364" s="23"/>
      <c r="D4364" s="23"/>
      <c r="E4364" s="23"/>
      <c r="F4364" s="23"/>
      <c r="G4364" s="23"/>
      <c r="H4364" s="23"/>
      <c r="I4364" s="23"/>
      <c r="J4364" s="23"/>
      <c r="K4364" s="23"/>
      <c r="L4364" s="23"/>
      <c r="M4364" s="24"/>
    </row>
    <row r="4365" spans="1:13" x14ac:dyDescent="0.35">
      <c r="A4365" s="86"/>
      <c r="B4365" s="21"/>
      <c r="C4365" s="21"/>
      <c r="D4365" s="21"/>
      <c r="E4365" s="21"/>
      <c r="F4365" s="21"/>
      <c r="G4365" s="21"/>
      <c r="H4365" s="21"/>
      <c r="I4365" s="21"/>
      <c r="J4365" s="21"/>
      <c r="K4365" s="21"/>
      <c r="L4365" s="21"/>
      <c r="M4365" s="22"/>
    </row>
    <row r="4366" spans="1:13" x14ac:dyDescent="0.35">
      <c r="A4366" s="86"/>
      <c r="B4366" s="21"/>
      <c r="C4366" s="21"/>
      <c r="D4366" s="21"/>
      <c r="E4366" s="21"/>
      <c r="F4366" s="21"/>
      <c r="G4366" s="21"/>
      <c r="H4366" s="21"/>
      <c r="I4366" s="21"/>
      <c r="J4366" s="21"/>
      <c r="K4366" s="21"/>
      <c r="L4366" s="21"/>
      <c r="M4366" s="22"/>
    </row>
    <row r="4367" spans="1:13" x14ac:dyDescent="0.35">
      <c r="A4367" s="85"/>
      <c r="B4367" s="23"/>
      <c r="C4367" s="23"/>
      <c r="D4367" s="23"/>
      <c r="E4367" s="23"/>
      <c r="F4367" s="23"/>
      <c r="G4367" s="23"/>
      <c r="H4367" s="23"/>
      <c r="I4367" s="23"/>
      <c r="J4367" s="23"/>
      <c r="K4367" s="23"/>
      <c r="L4367" s="23"/>
      <c r="M4367" s="24"/>
    </row>
    <row r="4368" spans="1:13" x14ac:dyDescent="0.35">
      <c r="A4368" s="85"/>
      <c r="B4368" s="23"/>
      <c r="C4368" s="23"/>
      <c r="D4368" s="23"/>
      <c r="E4368" s="23"/>
      <c r="F4368" s="23"/>
      <c r="G4368" s="23"/>
      <c r="H4368" s="23"/>
      <c r="I4368" s="23"/>
      <c r="J4368" s="23"/>
      <c r="K4368" s="23"/>
      <c r="L4368" s="23"/>
      <c r="M4368" s="24"/>
    </row>
    <row r="4369" spans="1:13" x14ac:dyDescent="0.35">
      <c r="A4369" s="85"/>
      <c r="B4369" s="23"/>
      <c r="C4369" s="23"/>
      <c r="D4369" s="23"/>
      <c r="E4369" s="23"/>
      <c r="F4369" s="23"/>
      <c r="G4369" s="23"/>
      <c r="H4369" s="23"/>
      <c r="I4369" s="23"/>
      <c r="J4369" s="23"/>
      <c r="K4369" s="23"/>
      <c r="L4369" s="23"/>
      <c r="M4369" s="24"/>
    </row>
    <row r="4370" spans="1:13" x14ac:dyDescent="0.35">
      <c r="A4370" s="86"/>
      <c r="B4370" s="21"/>
      <c r="C4370" s="21"/>
      <c r="D4370" s="21"/>
      <c r="E4370" s="21"/>
      <c r="F4370" s="21"/>
      <c r="G4370" s="21"/>
      <c r="H4370" s="21"/>
      <c r="I4370" s="21"/>
      <c r="J4370" s="21"/>
      <c r="K4370" s="21"/>
      <c r="L4370" s="21"/>
      <c r="M4370" s="22"/>
    </row>
    <row r="4371" spans="1:13" x14ac:dyDescent="0.35">
      <c r="A4371" s="85"/>
      <c r="B4371" s="23"/>
      <c r="C4371" s="23"/>
      <c r="D4371" s="23"/>
      <c r="E4371" s="23"/>
      <c r="F4371" s="23"/>
      <c r="G4371" s="23"/>
      <c r="H4371" s="23"/>
      <c r="I4371" s="23"/>
      <c r="J4371" s="23"/>
      <c r="K4371" s="23"/>
      <c r="L4371" s="23"/>
      <c r="M4371" s="24"/>
    </row>
    <row r="4372" spans="1:13" x14ac:dyDescent="0.35">
      <c r="A4372" s="86"/>
      <c r="B4372" s="21"/>
      <c r="C4372" s="21"/>
      <c r="D4372" s="21"/>
      <c r="E4372" s="21"/>
      <c r="F4372" s="21"/>
      <c r="G4372" s="21"/>
      <c r="H4372" s="21"/>
      <c r="I4372" s="21"/>
      <c r="J4372" s="21"/>
      <c r="K4372" s="21"/>
      <c r="L4372" s="21"/>
      <c r="M4372" s="22"/>
    </row>
    <row r="4373" spans="1:13" x14ac:dyDescent="0.35">
      <c r="A4373" s="86"/>
      <c r="B4373" s="21"/>
      <c r="C4373" s="21"/>
      <c r="D4373" s="21"/>
      <c r="E4373" s="21"/>
      <c r="F4373" s="21"/>
      <c r="G4373" s="21"/>
      <c r="H4373" s="21"/>
      <c r="I4373" s="21"/>
      <c r="J4373" s="21"/>
      <c r="K4373" s="21"/>
      <c r="L4373" s="21"/>
      <c r="M4373" s="22"/>
    </row>
    <row r="4374" spans="1:13" x14ac:dyDescent="0.35">
      <c r="A4374" s="86"/>
      <c r="B4374" s="21"/>
      <c r="C4374" s="21"/>
      <c r="D4374" s="21"/>
      <c r="E4374" s="21"/>
      <c r="F4374" s="21"/>
      <c r="G4374" s="21"/>
      <c r="H4374" s="21"/>
      <c r="I4374" s="21"/>
      <c r="J4374" s="21"/>
      <c r="K4374" s="21"/>
      <c r="L4374" s="21"/>
      <c r="M4374" s="22"/>
    </row>
    <row r="4375" spans="1:13" x14ac:dyDescent="0.35">
      <c r="A4375" s="86"/>
      <c r="B4375" s="21"/>
      <c r="C4375" s="21"/>
      <c r="D4375" s="21"/>
      <c r="E4375" s="21"/>
      <c r="F4375" s="21"/>
      <c r="G4375" s="21"/>
      <c r="H4375" s="21"/>
      <c r="I4375" s="21"/>
      <c r="J4375" s="21"/>
      <c r="K4375" s="21"/>
      <c r="L4375" s="21"/>
      <c r="M4375" s="22"/>
    </row>
    <row r="4376" spans="1:13" x14ac:dyDescent="0.35">
      <c r="A4376" s="85"/>
      <c r="B4376" s="23"/>
      <c r="C4376" s="23"/>
      <c r="D4376" s="23"/>
      <c r="E4376" s="23"/>
      <c r="F4376" s="23"/>
      <c r="G4376" s="23"/>
      <c r="H4376" s="23"/>
      <c r="I4376" s="23"/>
      <c r="J4376" s="23"/>
      <c r="K4376" s="23"/>
      <c r="L4376" s="23"/>
      <c r="M4376" s="24"/>
    </row>
    <row r="4377" spans="1:13" x14ac:dyDescent="0.35">
      <c r="A4377" s="86"/>
      <c r="B4377" s="21"/>
      <c r="C4377" s="21"/>
      <c r="D4377" s="21"/>
      <c r="E4377" s="21"/>
      <c r="F4377" s="21"/>
      <c r="G4377" s="21"/>
      <c r="H4377" s="21"/>
      <c r="I4377" s="21"/>
      <c r="J4377" s="21"/>
      <c r="K4377" s="21"/>
      <c r="L4377" s="21"/>
      <c r="M4377" s="22"/>
    </row>
    <row r="4378" spans="1:13" x14ac:dyDescent="0.35">
      <c r="A4378" s="86"/>
      <c r="B4378" s="21"/>
      <c r="C4378" s="21"/>
      <c r="D4378" s="21"/>
      <c r="E4378" s="21"/>
      <c r="F4378" s="21"/>
      <c r="G4378" s="21"/>
      <c r="H4378" s="21"/>
      <c r="I4378" s="21"/>
      <c r="J4378" s="21"/>
      <c r="K4378" s="21"/>
      <c r="L4378" s="21"/>
      <c r="M4378" s="22"/>
    </row>
    <row r="4379" spans="1:13" x14ac:dyDescent="0.35">
      <c r="A4379" s="85"/>
      <c r="B4379" s="23"/>
      <c r="C4379" s="23"/>
      <c r="D4379" s="23"/>
      <c r="E4379" s="23"/>
      <c r="F4379" s="23"/>
      <c r="G4379" s="23"/>
      <c r="H4379" s="23"/>
      <c r="I4379" s="23"/>
      <c r="J4379" s="23"/>
      <c r="K4379" s="23"/>
      <c r="L4379" s="23"/>
      <c r="M4379" s="24"/>
    </row>
    <row r="4380" spans="1:13" x14ac:dyDescent="0.35">
      <c r="A4380" s="86"/>
      <c r="B4380" s="21"/>
      <c r="C4380" s="21"/>
      <c r="D4380" s="21"/>
      <c r="E4380" s="21"/>
      <c r="F4380" s="21"/>
      <c r="G4380" s="21"/>
      <c r="H4380" s="21"/>
      <c r="I4380" s="21"/>
      <c r="J4380" s="21"/>
      <c r="K4380" s="21"/>
      <c r="L4380" s="21"/>
      <c r="M4380" s="22"/>
    </row>
    <row r="4381" spans="1:13" x14ac:dyDescent="0.35">
      <c r="A4381" s="82"/>
      <c r="B4381" s="19"/>
      <c r="C4381" s="19"/>
      <c r="D4381" s="19"/>
      <c r="E4381" s="19"/>
      <c r="F4381" s="19"/>
      <c r="G4381" s="19"/>
      <c r="H4381" s="19"/>
      <c r="I4381" s="19"/>
      <c r="J4381" s="19"/>
      <c r="K4381" s="19"/>
      <c r="L4381" s="19"/>
      <c r="M4381" s="20"/>
    </row>
    <row r="4382" spans="1:13" x14ac:dyDescent="0.35">
      <c r="A4382" s="82"/>
      <c r="B4382" s="19"/>
      <c r="C4382" s="19"/>
      <c r="D4382" s="19"/>
      <c r="E4382" s="19"/>
      <c r="F4382" s="19"/>
      <c r="G4382" s="19"/>
      <c r="H4382" s="19"/>
      <c r="I4382" s="19"/>
      <c r="J4382" s="19"/>
      <c r="K4382" s="19"/>
      <c r="L4382" s="19"/>
      <c r="M4382" s="20"/>
    </row>
    <row r="4383" spans="1:13" x14ac:dyDescent="0.35">
      <c r="A4383" s="82"/>
      <c r="B4383" s="19"/>
      <c r="C4383" s="19"/>
      <c r="D4383" s="19"/>
      <c r="E4383" s="19"/>
      <c r="F4383" s="19"/>
      <c r="G4383" s="19"/>
      <c r="H4383" s="19"/>
      <c r="I4383" s="19"/>
      <c r="J4383" s="19"/>
      <c r="K4383" s="19"/>
      <c r="L4383" s="19"/>
      <c r="M4383" s="20"/>
    </row>
    <row r="4384" spans="1:13" x14ac:dyDescent="0.35">
      <c r="A4384" s="82"/>
      <c r="B4384" s="19"/>
      <c r="C4384" s="19"/>
      <c r="D4384" s="19"/>
      <c r="E4384" s="19"/>
      <c r="F4384" s="19"/>
      <c r="G4384" s="19"/>
      <c r="H4384" s="19"/>
      <c r="I4384" s="19"/>
      <c r="J4384" s="19"/>
      <c r="K4384" s="19"/>
      <c r="L4384" s="19"/>
      <c r="M4384" s="20"/>
    </row>
    <row r="4385" spans="1:13" x14ac:dyDescent="0.35">
      <c r="A4385" s="82"/>
      <c r="B4385" s="19"/>
      <c r="C4385" s="19"/>
      <c r="D4385" s="19"/>
      <c r="E4385" s="19"/>
      <c r="F4385" s="19"/>
      <c r="G4385" s="19"/>
      <c r="H4385" s="19"/>
      <c r="I4385" s="19"/>
      <c r="J4385" s="19"/>
      <c r="K4385" s="19"/>
      <c r="L4385" s="19"/>
      <c r="M4385" s="20"/>
    </row>
    <row r="4386" spans="1:13" x14ac:dyDescent="0.35">
      <c r="A4386" s="82"/>
      <c r="B4386" s="19"/>
      <c r="C4386" s="19"/>
      <c r="D4386" s="19"/>
      <c r="E4386" s="19"/>
      <c r="F4386" s="19"/>
      <c r="G4386" s="19"/>
      <c r="H4386" s="19"/>
      <c r="I4386" s="19"/>
      <c r="J4386" s="19"/>
      <c r="K4386" s="19"/>
      <c r="L4386" s="19"/>
      <c r="M4386" s="20"/>
    </row>
    <row r="4387" spans="1:13" x14ac:dyDescent="0.35">
      <c r="A4387" s="82"/>
      <c r="B4387" s="19"/>
      <c r="C4387" s="19"/>
      <c r="D4387" s="19"/>
      <c r="E4387" s="19"/>
      <c r="F4387" s="19"/>
      <c r="G4387" s="19"/>
      <c r="H4387" s="19"/>
      <c r="I4387" s="19"/>
      <c r="J4387" s="19"/>
      <c r="K4387" s="19"/>
      <c r="L4387" s="19"/>
      <c r="M4387" s="20"/>
    </row>
    <row r="4388" spans="1:13" x14ac:dyDescent="0.35">
      <c r="A4388" s="82"/>
      <c r="B4388" s="19"/>
      <c r="C4388" s="19"/>
      <c r="D4388" s="19"/>
      <c r="E4388" s="19"/>
      <c r="F4388" s="19"/>
      <c r="G4388" s="19"/>
      <c r="H4388" s="19"/>
      <c r="I4388" s="19"/>
      <c r="J4388" s="19"/>
      <c r="K4388" s="19"/>
      <c r="L4388" s="19"/>
      <c r="M4388" s="20"/>
    </row>
    <row r="4389" spans="1:13" x14ac:dyDescent="0.35">
      <c r="A4389" s="82"/>
      <c r="B4389" s="19"/>
      <c r="C4389" s="19"/>
      <c r="D4389" s="19"/>
      <c r="E4389" s="19"/>
      <c r="F4389" s="19"/>
      <c r="G4389" s="19"/>
      <c r="H4389" s="19"/>
      <c r="I4389" s="19"/>
      <c r="J4389" s="19"/>
      <c r="K4389" s="19"/>
      <c r="L4389" s="19"/>
      <c r="M4389" s="20"/>
    </row>
    <row r="4390" spans="1:13" x14ac:dyDescent="0.35">
      <c r="A4390" s="82"/>
      <c r="B4390" s="19"/>
      <c r="C4390" s="19"/>
      <c r="D4390" s="19"/>
      <c r="E4390" s="19"/>
      <c r="F4390" s="19"/>
      <c r="G4390" s="19"/>
      <c r="H4390" s="19"/>
      <c r="I4390" s="19"/>
      <c r="J4390" s="19"/>
      <c r="K4390" s="19"/>
      <c r="L4390" s="19"/>
      <c r="M4390" s="20"/>
    </row>
    <row r="4391" spans="1:13" x14ac:dyDescent="0.35">
      <c r="A4391" s="82"/>
      <c r="B4391" s="19"/>
      <c r="C4391" s="19"/>
      <c r="D4391" s="19"/>
      <c r="E4391" s="19"/>
      <c r="F4391" s="19"/>
      <c r="G4391" s="19"/>
      <c r="H4391" s="19"/>
      <c r="I4391" s="19"/>
      <c r="J4391" s="19"/>
      <c r="K4391" s="19"/>
      <c r="L4391" s="19"/>
      <c r="M4391" s="20"/>
    </row>
    <row r="4392" spans="1:13" x14ac:dyDescent="0.35">
      <c r="A4392" s="86"/>
      <c r="B4392" s="21"/>
      <c r="C4392" s="21"/>
      <c r="D4392" s="21"/>
      <c r="E4392" s="21"/>
      <c r="F4392" s="21"/>
      <c r="G4392" s="21"/>
      <c r="H4392" s="21"/>
      <c r="I4392" s="21"/>
      <c r="J4392" s="21"/>
      <c r="K4392" s="21"/>
      <c r="L4392" s="21"/>
      <c r="M4392" s="22"/>
    </row>
    <row r="4393" spans="1:13" x14ac:dyDescent="0.35">
      <c r="A4393" s="85"/>
      <c r="B4393" s="23"/>
      <c r="C4393" s="23"/>
      <c r="D4393" s="23"/>
      <c r="E4393" s="23"/>
      <c r="F4393" s="23"/>
      <c r="G4393" s="23"/>
      <c r="H4393" s="23"/>
      <c r="I4393" s="23"/>
      <c r="J4393" s="23"/>
      <c r="K4393" s="23"/>
      <c r="L4393" s="23"/>
      <c r="M4393" s="24"/>
    </row>
    <row r="4394" spans="1:13" x14ac:dyDescent="0.35">
      <c r="A4394" s="86"/>
      <c r="B4394" s="21"/>
      <c r="C4394" s="21"/>
      <c r="D4394" s="21"/>
      <c r="E4394" s="21"/>
      <c r="F4394" s="21"/>
      <c r="G4394" s="21"/>
      <c r="H4394" s="21"/>
      <c r="I4394" s="21"/>
      <c r="J4394" s="21"/>
      <c r="K4394" s="21"/>
      <c r="L4394" s="21"/>
      <c r="M4394" s="22"/>
    </row>
    <row r="4395" spans="1:13" x14ac:dyDescent="0.35">
      <c r="A4395" s="85"/>
      <c r="B4395" s="23"/>
      <c r="C4395" s="23"/>
      <c r="D4395" s="23"/>
      <c r="E4395" s="23"/>
      <c r="F4395" s="23"/>
      <c r="G4395" s="23"/>
      <c r="H4395" s="23"/>
      <c r="I4395" s="23"/>
      <c r="J4395" s="23"/>
      <c r="K4395" s="23"/>
      <c r="L4395" s="23"/>
      <c r="M4395" s="24"/>
    </row>
    <row r="4396" spans="1:13" x14ac:dyDescent="0.35">
      <c r="A4396" s="86"/>
      <c r="B4396" s="21"/>
      <c r="C4396" s="21"/>
      <c r="D4396" s="21"/>
      <c r="E4396" s="21"/>
      <c r="F4396" s="21"/>
      <c r="G4396" s="21"/>
      <c r="H4396" s="21"/>
      <c r="I4396" s="21"/>
      <c r="J4396" s="21"/>
      <c r="K4396" s="21"/>
      <c r="L4396" s="21"/>
      <c r="M4396" s="22"/>
    </row>
    <row r="4397" spans="1:13" x14ac:dyDescent="0.35">
      <c r="A4397" s="85"/>
      <c r="B4397" s="23"/>
      <c r="C4397" s="23"/>
      <c r="D4397" s="23"/>
      <c r="E4397" s="23"/>
      <c r="F4397" s="23"/>
      <c r="G4397" s="23"/>
      <c r="H4397" s="23"/>
      <c r="I4397" s="23"/>
      <c r="J4397" s="23"/>
      <c r="K4397" s="23"/>
      <c r="L4397" s="23"/>
      <c r="M4397" s="24"/>
    </row>
    <row r="4398" spans="1:13" x14ac:dyDescent="0.35">
      <c r="A4398" s="86"/>
      <c r="B4398" s="21"/>
      <c r="C4398" s="21"/>
      <c r="D4398" s="21"/>
      <c r="E4398" s="21"/>
      <c r="F4398" s="21"/>
      <c r="G4398" s="21"/>
      <c r="H4398" s="21"/>
      <c r="I4398" s="21"/>
      <c r="J4398" s="21"/>
      <c r="K4398" s="21"/>
      <c r="L4398" s="21"/>
      <c r="M4398" s="22"/>
    </row>
    <row r="4399" spans="1:13" x14ac:dyDescent="0.35">
      <c r="A4399" s="86"/>
      <c r="B4399" s="21"/>
      <c r="C4399" s="21"/>
      <c r="D4399" s="21"/>
      <c r="E4399" s="21"/>
      <c r="F4399" s="21"/>
      <c r="G4399" s="21"/>
      <c r="H4399" s="21"/>
      <c r="I4399" s="21"/>
      <c r="J4399" s="21"/>
      <c r="K4399" s="21"/>
      <c r="L4399" s="21"/>
      <c r="M4399" s="22"/>
    </row>
    <row r="4400" spans="1:13" x14ac:dyDescent="0.35">
      <c r="A4400" s="85"/>
      <c r="B4400" s="23"/>
      <c r="C4400" s="23"/>
      <c r="D4400" s="23"/>
      <c r="E4400" s="23"/>
      <c r="F4400" s="23"/>
      <c r="G4400" s="23"/>
      <c r="H4400" s="23"/>
      <c r="I4400" s="23"/>
      <c r="J4400" s="23"/>
      <c r="K4400" s="23"/>
      <c r="L4400" s="23"/>
      <c r="M4400" s="24"/>
    </row>
    <row r="4401" spans="1:13" x14ac:dyDescent="0.35">
      <c r="A4401" s="86"/>
      <c r="B4401" s="21"/>
      <c r="C4401" s="21"/>
      <c r="D4401" s="21"/>
      <c r="E4401" s="21"/>
      <c r="F4401" s="21"/>
      <c r="G4401" s="21"/>
      <c r="H4401" s="21"/>
      <c r="I4401" s="21"/>
      <c r="J4401" s="21"/>
      <c r="K4401" s="21"/>
      <c r="L4401" s="21"/>
      <c r="M4401" s="22"/>
    </row>
    <row r="4402" spans="1:13" x14ac:dyDescent="0.35">
      <c r="A4402" s="85"/>
      <c r="B4402" s="23"/>
      <c r="C4402" s="23"/>
      <c r="D4402" s="23"/>
      <c r="E4402" s="23"/>
      <c r="F4402" s="23"/>
      <c r="G4402" s="23"/>
      <c r="H4402" s="23"/>
      <c r="I4402" s="23"/>
      <c r="J4402" s="23"/>
      <c r="K4402" s="23"/>
      <c r="L4402" s="23"/>
      <c r="M4402" s="24"/>
    </row>
    <row r="4403" spans="1:13" x14ac:dyDescent="0.35">
      <c r="A4403" s="86"/>
      <c r="B4403" s="21"/>
      <c r="C4403" s="21"/>
      <c r="D4403" s="21"/>
      <c r="E4403" s="21"/>
      <c r="F4403" s="21"/>
      <c r="G4403" s="21"/>
      <c r="H4403" s="21"/>
      <c r="I4403" s="21"/>
      <c r="J4403" s="21"/>
      <c r="K4403" s="21"/>
      <c r="L4403" s="21"/>
      <c r="M4403" s="22"/>
    </row>
    <row r="4404" spans="1:13" x14ac:dyDescent="0.35">
      <c r="A4404" s="85"/>
      <c r="B4404" s="23"/>
      <c r="C4404" s="23"/>
      <c r="D4404" s="23"/>
      <c r="E4404" s="23"/>
      <c r="F4404" s="23"/>
      <c r="G4404" s="23"/>
      <c r="H4404" s="23"/>
      <c r="I4404" s="23"/>
      <c r="J4404" s="23"/>
      <c r="K4404" s="23"/>
      <c r="L4404" s="23"/>
      <c r="M4404" s="24"/>
    </row>
    <row r="4405" spans="1:13" x14ac:dyDescent="0.35">
      <c r="A4405" s="86"/>
      <c r="B4405" s="21"/>
      <c r="C4405" s="21"/>
      <c r="D4405" s="21"/>
      <c r="E4405" s="21"/>
      <c r="F4405" s="21"/>
      <c r="G4405" s="21"/>
      <c r="H4405" s="21"/>
      <c r="I4405" s="21"/>
      <c r="J4405" s="21"/>
      <c r="K4405" s="21"/>
      <c r="L4405" s="21"/>
      <c r="M4405" s="22"/>
    </row>
    <row r="4406" spans="1:13" x14ac:dyDescent="0.35">
      <c r="A4406" s="85"/>
      <c r="B4406" s="23"/>
      <c r="C4406" s="23"/>
      <c r="D4406" s="23"/>
      <c r="E4406" s="23"/>
      <c r="F4406" s="23"/>
      <c r="G4406" s="23"/>
      <c r="H4406" s="23"/>
      <c r="I4406" s="23"/>
      <c r="J4406" s="23"/>
      <c r="K4406" s="23"/>
      <c r="L4406" s="23"/>
      <c r="M4406" s="24"/>
    </row>
    <row r="4407" spans="1:13" x14ac:dyDescent="0.35">
      <c r="A4407" s="86"/>
      <c r="B4407" s="21"/>
      <c r="C4407" s="21"/>
      <c r="D4407" s="21"/>
      <c r="E4407" s="21"/>
      <c r="F4407" s="21"/>
      <c r="G4407" s="21"/>
      <c r="H4407" s="21"/>
      <c r="I4407" s="21"/>
      <c r="J4407" s="21"/>
      <c r="K4407" s="21"/>
      <c r="L4407" s="21"/>
      <c r="M4407" s="22"/>
    </row>
    <row r="4408" spans="1:13" x14ac:dyDescent="0.35">
      <c r="A4408" s="85"/>
      <c r="B4408" s="23"/>
      <c r="C4408" s="23"/>
      <c r="D4408" s="23"/>
      <c r="E4408" s="23"/>
      <c r="F4408" s="23"/>
      <c r="G4408" s="23"/>
      <c r="H4408" s="23"/>
      <c r="I4408" s="23"/>
      <c r="J4408" s="23"/>
      <c r="K4408" s="23"/>
      <c r="L4408" s="23"/>
      <c r="M4408" s="24"/>
    </row>
    <row r="4409" spans="1:13" x14ac:dyDescent="0.35">
      <c r="A4409" s="82"/>
      <c r="B4409" s="19"/>
      <c r="C4409" s="19"/>
      <c r="D4409" s="19"/>
      <c r="E4409" s="19"/>
      <c r="F4409" s="19"/>
      <c r="G4409" s="19"/>
      <c r="H4409" s="19"/>
      <c r="I4409" s="19"/>
      <c r="J4409" s="19"/>
      <c r="K4409" s="19"/>
      <c r="L4409" s="19"/>
      <c r="M4409" s="20"/>
    </row>
    <row r="4410" spans="1:13" x14ac:dyDescent="0.35">
      <c r="A4410" s="82"/>
      <c r="B4410" s="19"/>
      <c r="C4410" s="19"/>
      <c r="D4410" s="19"/>
      <c r="E4410" s="19"/>
      <c r="F4410" s="19"/>
      <c r="G4410" s="19"/>
      <c r="H4410" s="19"/>
      <c r="I4410" s="19"/>
      <c r="J4410" s="19"/>
      <c r="K4410" s="19"/>
      <c r="L4410" s="19"/>
      <c r="M4410" s="20"/>
    </row>
    <row r="4411" spans="1:13" x14ac:dyDescent="0.35">
      <c r="A4411" s="82"/>
      <c r="B4411" s="19"/>
      <c r="C4411" s="19"/>
      <c r="D4411" s="19"/>
      <c r="E4411" s="19"/>
      <c r="F4411" s="19"/>
      <c r="G4411" s="19"/>
      <c r="H4411" s="19"/>
      <c r="I4411" s="19"/>
      <c r="J4411" s="19"/>
      <c r="K4411" s="19"/>
      <c r="L4411" s="19"/>
      <c r="M4411" s="20"/>
    </row>
    <row r="4412" spans="1:13" x14ac:dyDescent="0.35">
      <c r="A4412" s="82"/>
      <c r="B4412" s="19"/>
      <c r="C4412" s="19"/>
      <c r="D4412" s="19"/>
      <c r="E4412" s="19"/>
      <c r="F4412" s="19"/>
      <c r="G4412" s="19"/>
      <c r="H4412" s="19"/>
      <c r="I4412" s="19"/>
      <c r="J4412" s="19"/>
      <c r="K4412" s="19"/>
      <c r="L4412" s="19"/>
      <c r="M4412" s="20"/>
    </row>
    <row r="4413" spans="1:13" x14ac:dyDescent="0.35">
      <c r="A4413" s="82"/>
      <c r="B4413" s="19"/>
      <c r="C4413" s="19"/>
      <c r="D4413" s="19"/>
      <c r="E4413" s="19"/>
      <c r="F4413" s="19"/>
      <c r="G4413" s="19"/>
      <c r="H4413" s="19"/>
      <c r="I4413" s="19"/>
      <c r="J4413" s="19"/>
      <c r="K4413" s="19"/>
      <c r="L4413" s="19"/>
      <c r="M4413" s="20"/>
    </row>
    <row r="4414" spans="1:13" x14ac:dyDescent="0.35">
      <c r="A4414" s="82"/>
      <c r="B4414" s="19"/>
      <c r="C4414" s="19"/>
      <c r="D4414" s="19"/>
      <c r="E4414" s="19"/>
      <c r="F4414" s="19"/>
      <c r="G4414" s="19"/>
      <c r="H4414" s="19"/>
      <c r="I4414" s="19"/>
      <c r="J4414" s="19"/>
      <c r="K4414" s="19"/>
      <c r="L4414" s="19"/>
      <c r="M4414" s="20"/>
    </row>
    <row r="4415" spans="1:13" x14ac:dyDescent="0.35">
      <c r="A4415" s="82"/>
      <c r="B4415" s="19"/>
      <c r="C4415" s="19"/>
      <c r="D4415" s="19"/>
      <c r="E4415" s="19"/>
      <c r="F4415" s="19"/>
      <c r="G4415" s="19"/>
      <c r="H4415" s="19"/>
      <c r="I4415" s="19"/>
      <c r="J4415" s="19"/>
      <c r="K4415" s="19"/>
      <c r="L4415" s="19"/>
      <c r="M4415" s="20"/>
    </row>
    <row r="4416" spans="1:13" x14ac:dyDescent="0.35">
      <c r="A4416" s="82"/>
      <c r="B4416" s="19"/>
      <c r="C4416" s="19"/>
      <c r="D4416" s="19"/>
      <c r="E4416" s="19"/>
      <c r="F4416" s="19"/>
      <c r="G4416" s="19"/>
      <c r="H4416" s="19"/>
      <c r="I4416" s="19"/>
      <c r="J4416" s="19"/>
      <c r="K4416" s="19"/>
      <c r="L4416" s="19"/>
      <c r="M4416" s="20"/>
    </row>
    <row r="4417" spans="1:13" x14ac:dyDescent="0.35">
      <c r="A4417" s="82"/>
      <c r="B4417" s="19"/>
      <c r="C4417" s="19"/>
      <c r="D4417" s="19"/>
      <c r="E4417" s="19"/>
      <c r="F4417" s="19"/>
      <c r="G4417" s="19"/>
      <c r="H4417" s="19"/>
      <c r="I4417" s="19"/>
      <c r="J4417" s="19"/>
      <c r="K4417" s="19"/>
      <c r="L4417" s="19"/>
      <c r="M4417" s="20"/>
    </row>
    <row r="4418" spans="1:13" x14ac:dyDescent="0.35">
      <c r="A4418" s="82"/>
      <c r="B4418" s="19"/>
      <c r="C4418" s="19"/>
      <c r="D4418" s="19"/>
      <c r="E4418" s="19"/>
      <c r="F4418" s="19"/>
      <c r="G4418" s="19"/>
      <c r="H4418" s="19"/>
      <c r="I4418" s="19"/>
      <c r="J4418" s="19"/>
      <c r="K4418" s="19"/>
      <c r="L4418" s="19"/>
      <c r="M4418" s="20"/>
    </row>
    <row r="4419" spans="1:13" x14ac:dyDescent="0.35">
      <c r="A4419" s="82"/>
      <c r="B4419" s="19"/>
      <c r="C4419" s="19"/>
      <c r="D4419" s="19"/>
      <c r="E4419" s="19"/>
      <c r="F4419" s="19"/>
      <c r="G4419" s="19"/>
      <c r="H4419" s="19"/>
      <c r="I4419" s="19"/>
      <c r="J4419" s="19"/>
      <c r="K4419" s="19"/>
      <c r="L4419" s="19"/>
      <c r="M4419" s="20"/>
    </row>
    <row r="4420" spans="1:13" x14ac:dyDescent="0.35">
      <c r="A4420" s="82"/>
      <c r="B4420" s="19"/>
      <c r="C4420" s="19"/>
      <c r="D4420" s="19"/>
      <c r="E4420" s="19"/>
      <c r="F4420" s="19"/>
      <c r="G4420" s="19"/>
      <c r="H4420" s="19"/>
      <c r="I4420" s="19"/>
      <c r="J4420" s="19"/>
      <c r="K4420" s="19"/>
      <c r="L4420" s="19"/>
      <c r="M4420" s="20"/>
    </row>
    <row r="4421" spans="1:13" x14ac:dyDescent="0.35">
      <c r="A4421" s="81"/>
      <c r="B4421" s="17"/>
      <c r="C4421" s="17"/>
      <c r="D4421" s="17"/>
      <c r="E4421" s="17"/>
      <c r="F4421" s="17"/>
      <c r="G4421" s="17"/>
      <c r="H4421" s="17"/>
      <c r="I4421" s="17"/>
      <c r="J4421" s="17"/>
      <c r="K4421" s="17"/>
      <c r="L4421" s="17"/>
      <c r="M4421" s="18"/>
    </row>
    <row r="4422" spans="1:13" x14ac:dyDescent="0.35">
      <c r="A4422" s="82"/>
      <c r="B4422" s="19"/>
      <c r="C4422" s="19"/>
      <c r="D4422" s="19"/>
      <c r="E4422" s="19"/>
      <c r="F4422" s="19"/>
      <c r="G4422" s="19"/>
      <c r="H4422" s="19"/>
      <c r="I4422" s="19"/>
      <c r="J4422" s="19"/>
      <c r="K4422" s="19"/>
      <c r="L4422" s="19"/>
      <c r="M4422" s="20"/>
    </row>
    <row r="4423" spans="1:13" x14ac:dyDescent="0.35">
      <c r="A4423" s="30"/>
      <c r="B4423" s="30"/>
      <c r="C4423" s="30"/>
      <c r="D4423" s="30"/>
      <c r="E4423" s="30"/>
      <c r="F4423" s="30"/>
      <c r="G4423" s="30"/>
      <c r="H4423" s="30"/>
      <c r="I4423" s="30"/>
      <c r="J4423" s="30"/>
      <c r="K4423" s="30"/>
      <c r="L4423" s="30"/>
      <c r="M4423" s="30"/>
    </row>
    <row r="4425" spans="1:13" x14ac:dyDescent="0.35">
      <c r="A4425" s="30"/>
      <c r="B4425" s="30"/>
      <c r="C4425" s="30"/>
      <c r="D4425" s="30"/>
      <c r="E4425" s="30"/>
      <c r="F4425" s="30"/>
      <c r="G4425" s="30"/>
      <c r="H4425" s="30"/>
      <c r="I4425" s="30"/>
      <c r="J4425" s="30"/>
      <c r="K4425" s="30"/>
      <c r="L4425" s="30"/>
      <c r="M4425" s="30"/>
    </row>
    <row r="4427" spans="1:13" x14ac:dyDescent="0.35">
      <c r="A4427" s="30"/>
      <c r="B4427" s="30"/>
      <c r="C4427" s="30"/>
      <c r="D4427" s="30"/>
      <c r="E4427" s="30"/>
      <c r="F4427" s="30"/>
      <c r="G4427" s="30"/>
      <c r="H4427" s="30"/>
      <c r="I4427" s="30"/>
      <c r="J4427" s="30"/>
      <c r="K4427" s="30"/>
      <c r="L4427" s="30"/>
      <c r="M4427" s="30"/>
    </row>
    <row r="4429" spans="1:13" x14ac:dyDescent="0.35">
      <c r="A4429" s="30"/>
      <c r="B4429" s="30"/>
      <c r="C4429" s="30"/>
      <c r="D4429" s="30"/>
      <c r="E4429" s="30"/>
      <c r="F4429" s="30"/>
      <c r="G4429" s="30"/>
      <c r="H4429" s="30"/>
      <c r="I4429" s="30"/>
      <c r="J4429" s="30"/>
      <c r="K4429" s="30"/>
      <c r="L4429" s="30"/>
      <c r="M4429" s="30"/>
    </row>
    <row r="4431" spans="1:13" x14ac:dyDescent="0.35">
      <c r="A4431" s="30"/>
      <c r="B4431" s="30"/>
      <c r="C4431" s="30"/>
      <c r="D4431" s="30"/>
      <c r="E4431" s="30"/>
      <c r="F4431" s="30"/>
      <c r="G4431" s="30"/>
      <c r="H4431" s="30"/>
      <c r="I4431" s="30"/>
      <c r="J4431" s="30"/>
      <c r="K4431" s="30"/>
      <c r="L4431" s="30"/>
      <c r="M4431" s="30"/>
    </row>
    <row r="4433" spans="1:13" x14ac:dyDescent="0.35">
      <c r="A4433" s="30"/>
      <c r="B4433" s="30"/>
      <c r="C4433" s="30"/>
      <c r="D4433" s="30"/>
      <c r="E4433" s="30"/>
      <c r="F4433" s="30"/>
      <c r="G4433" s="30"/>
      <c r="H4433" s="30"/>
      <c r="I4433" s="30"/>
      <c r="J4433" s="30"/>
      <c r="K4433" s="30"/>
      <c r="L4433" s="30"/>
      <c r="M4433" s="30"/>
    </row>
    <row r="4435" spans="1:13" x14ac:dyDescent="0.35">
      <c r="A4435" s="30"/>
      <c r="B4435" s="30"/>
      <c r="C4435" s="30"/>
      <c r="D4435" s="30"/>
      <c r="E4435" s="30"/>
      <c r="F4435" s="30"/>
      <c r="G4435" s="30"/>
      <c r="H4435" s="30"/>
      <c r="I4435" s="30"/>
      <c r="J4435" s="30"/>
      <c r="K4435" s="30"/>
      <c r="L4435" s="30"/>
      <c r="M4435" s="30"/>
    </row>
    <row r="4437" spans="1:13" x14ac:dyDescent="0.35">
      <c r="A4437" s="30"/>
      <c r="B4437" s="30"/>
      <c r="C4437" s="30"/>
      <c r="D4437" s="30"/>
      <c r="E4437" s="30"/>
      <c r="F4437" s="30"/>
      <c r="G4437" s="30"/>
      <c r="H4437" s="30"/>
      <c r="I4437" s="30"/>
      <c r="J4437" s="30"/>
      <c r="K4437" s="30"/>
      <c r="L4437" s="30"/>
      <c r="M4437" s="30"/>
    </row>
    <row r="4448" spans="1:13" x14ac:dyDescent="0.35">
      <c r="A4448" s="30"/>
      <c r="B4448" s="30"/>
      <c r="C4448" s="30"/>
      <c r="D4448" s="30"/>
      <c r="E4448" s="30"/>
      <c r="F4448" s="30"/>
      <c r="G4448" s="30"/>
      <c r="H4448" s="30"/>
      <c r="I4448" s="30"/>
      <c r="J4448" s="30"/>
      <c r="K4448" s="30"/>
      <c r="L4448" s="30"/>
      <c r="M4448" s="30"/>
    </row>
    <row r="4450" spans="1:13" x14ac:dyDescent="0.35">
      <c r="A4450" s="30"/>
      <c r="B4450" s="30"/>
      <c r="C4450" s="30"/>
      <c r="D4450" s="30"/>
      <c r="E4450" s="30"/>
      <c r="F4450" s="30"/>
      <c r="G4450" s="30"/>
      <c r="H4450" s="30"/>
      <c r="I4450" s="30"/>
      <c r="J4450" s="30"/>
      <c r="K4450" s="30"/>
      <c r="L4450" s="30"/>
      <c r="M4450" s="30"/>
    </row>
    <row r="4452" spans="1:13" x14ac:dyDescent="0.35">
      <c r="A4452" s="30"/>
      <c r="B4452" s="30"/>
      <c r="C4452" s="30"/>
      <c r="D4452" s="30"/>
      <c r="E4452" s="30"/>
      <c r="F4452" s="30"/>
      <c r="G4452" s="30"/>
      <c r="H4452" s="30"/>
      <c r="I4452" s="30"/>
      <c r="J4452" s="30"/>
      <c r="K4452" s="30"/>
      <c r="L4452" s="30"/>
      <c r="M4452" s="30"/>
    </row>
    <row r="4454" spans="1:13" x14ac:dyDescent="0.35">
      <c r="A4454" s="30"/>
      <c r="B4454" s="30"/>
      <c r="C4454" s="30"/>
      <c r="D4454" s="30"/>
      <c r="E4454" s="30"/>
      <c r="F4454" s="30"/>
      <c r="G4454" s="30"/>
      <c r="H4454" s="30"/>
      <c r="I4454" s="30"/>
      <c r="J4454" s="30"/>
      <c r="K4454" s="30"/>
      <c r="L4454" s="30"/>
      <c r="M4454" s="30"/>
    </row>
    <row r="4455" spans="1:13" x14ac:dyDescent="0.35">
      <c r="A4455" s="30"/>
      <c r="B4455" s="30"/>
      <c r="C4455" s="30"/>
      <c r="D4455" s="30"/>
      <c r="E4455" s="30"/>
      <c r="F4455" s="30"/>
      <c r="G4455" s="30"/>
      <c r="H4455" s="30"/>
      <c r="I4455" s="30"/>
      <c r="J4455" s="30"/>
      <c r="K4455" s="30"/>
      <c r="L4455" s="30"/>
      <c r="M4455" s="30"/>
    </row>
    <row r="4458" spans="1:13" x14ac:dyDescent="0.35">
      <c r="A4458" s="30"/>
      <c r="B4458" s="30"/>
      <c r="C4458" s="30"/>
      <c r="D4458" s="30"/>
      <c r="E4458" s="30"/>
      <c r="F4458" s="30"/>
      <c r="G4458" s="30"/>
      <c r="H4458" s="30"/>
      <c r="I4458" s="30"/>
      <c r="J4458" s="30"/>
      <c r="K4458" s="30"/>
      <c r="L4458" s="30"/>
      <c r="M4458" s="30"/>
    </row>
    <row r="4459" spans="1:13" x14ac:dyDescent="0.35">
      <c r="A4459" s="30"/>
      <c r="B4459" s="30"/>
      <c r="C4459" s="30"/>
      <c r="D4459" s="30"/>
      <c r="E4459" s="30"/>
      <c r="F4459" s="30"/>
      <c r="G4459" s="30"/>
      <c r="H4459" s="30"/>
      <c r="I4459" s="30"/>
      <c r="J4459" s="30"/>
      <c r="K4459" s="30"/>
      <c r="L4459" s="30"/>
      <c r="M4459" s="30"/>
    </row>
    <row r="4460" spans="1:13" x14ac:dyDescent="0.35">
      <c r="A4460" s="30"/>
      <c r="B4460" s="30"/>
      <c r="C4460" s="30"/>
      <c r="D4460" s="30"/>
      <c r="E4460" s="30"/>
      <c r="F4460" s="30"/>
      <c r="G4460" s="30"/>
      <c r="H4460" s="30"/>
      <c r="I4460" s="30"/>
      <c r="J4460" s="30"/>
      <c r="K4460" s="30"/>
      <c r="L4460" s="30"/>
      <c r="M4460" s="30"/>
    </row>
    <row r="4461" spans="1:13" x14ac:dyDescent="0.35">
      <c r="A4461" s="30"/>
      <c r="B4461" s="30"/>
      <c r="C4461" s="30"/>
      <c r="D4461" s="30"/>
      <c r="E4461" s="30"/>
      <c r="F4461" s="30"/>
      <c r="G4461" s="30"/>
      <c r="H4461" s="30"/>
      <c r="I4461" s="30"/>
      <c r="J4461" s="30"/>
      <c r="K4461" s="30"/>
      <c r="L4461" s="30"/>
      <c r="M4461" s="30"/>
    </row>
    <row r="4469" spans="1:13" x14ac:dyDescent="0.35">
      <c r="A4469" s="30"/>
      <c r="B4469" s="30"/>
      <c r="C4469" s="30"/>
      <c r="D4469" s="30"/>
      <c r="E4469" s="30"/>
      <c r="F4469" s="30"/>
      <c r="G4469" s="30"/>
      <c r="H4469" s="30"/>
      <c r="I4469" s="30"/>
      <c r="J4469" s="30"/>
      <c r="K4469" s="30"/>
      <c r="L4469" s="30"/>
    </row>
    <row r="4470" spans="1:13" x14ac:dyDescent="0.35">
      <c r="A4470" s="30"/>
      <c r="B4470" s="30"/>
      <c r="C4470" s="30"/>
      <c r="D4470" s="30"/>
      <c r="E4470" s="30"/>
      <c r="F4470" s="30"/>
      <c r="G4470" s="30"/>
      <c r="H4470" s="30"/>
      <c r="I4470" s="30"/>
      <c r="J4470" s="30"/>
      <c r="K4470" s="30"/>
      <c r="L4470" s="30"/>
    </row>
    <row r="4471" spans="1:13" x14ac:dyDescent="0.35">
      <c r="A4471" s="30"/>
      <c r="B4471" s="30"/>
      <c r="C4471" s="30"/>
      <c r="D4471" s="30"/>
      <c r="E4471" s="30"/>
      <c r="F4471" s="30"/>
      <c r="G4471" s="30"/>
      <c r="H4471" s="30"/>
      <c r="I4471" s="30"/>
      <c r="J4471" s="30"/>
      <c r="K4471" s="30"/>
      <c r="L4471" s="30"/>
    </row>
    <row r="4472" spans="1:13" x14ac:dyDescent="0.35">
      <c r="A4472" s="30"/>
      <c r="B4472" s="30"/>
      <c r="C4472" s="30"/>
      <c r="D4472" s="30"/>
      <c r="E4472" s="30"/>
      <c r="F4472" s="30"/>
      <c r="G4472" s="30"/>
      <c r="H4472" s="30"/>
      <c r="I4472" s="30"/>
      <c r="J4472" s="30"/>
      <c r="K4472" s="30"/>
      <c r="L4472" s="30"/>
      <c r="M4472" s="30"/>
    </row>
    <row r="4473" spans="1:13" x14ac:dyDescent="0.35">
      <c r="A4473" s="30"/>
      <c r="B4473" s="30"/>
      <c r="C4473" s="30"/>
      <c r="D4473" s="30"/>
      <c r="E4473" s="30"/>
      <c r="F4473" s="30"/>
      <c r="G4473" s="30"/>
      <c r="H4473" s="30"/>
      <c r="I4473" s="30"/>
      <c r="J4473" s="30"/>
      <c r="K4473" s="30"/>
      <c r="L4473" s="30"/>
      <c r="M4473" s="30"/>
    </row>
    <row r="4474" spans="1:13" x14ac:dyDescent="0.35">
      <c r="A4474" s="30"/>
      <c r="B4474" s="30"/>
      <c r="C4474" s="30"/>
      <c r="D4474" s="30"/>
      <c r="E4474" s="30"/>
      <c r="F4474" s="30"/>
      <c r="G4474" s="30"/>
      <c r="H4474" s="30"/>
      <c r="I4474" s="30"/>
      <c r="J4474" s="30"/>
      <c r="K4474" s="30"/>
      <c r="L4474" s="30"/>
      <c r="M4474" s="30"/>
    </row>
    <row r="4475" spans="1:13" x14ac:dyDescent="0.35">
      <c r="A4475" s="30"/>
      <c r="B4475" s="30"/>
      <c r="C4475" s="30"/>
      <c r="D4475" s="30"/>
      <c r="E4475" s="30"/>
      <c r="F4475" s="30"/>
      <c r="G4475" s="30"/>
      <c r="H4475" s="30"/>
      <c r="I4475" s="30"/>
      <c r="J4475" s="30"/>
      <c r="K4475" s="30"/>
      <c r="L4475" s="30"/>
      <c r="M4475" s="30"/>
    </row>
    <row r="4478" spans="1:13" x14ac:dyDescent="0.35">
      <c r="A4478" s="30"/>
      <c r="B4478" s="30"/>
      <c r="C4478" s="30"/>
      <c r="D4478" s="30"/>
      <c r="E4478" s="30"/>
      <c r="F4478" s="30"/>
      <c r="G4478" s="30"/>
      <c r="H4478" s="30"/>
      <c r="I4478" s="30"/>
      <c r="J4478" s="30"/>
      <c r="K4478" s="30"/>
      <c r="L4478" s="30"/>
      <c r="M4478" s="30"/>
    </row>
    <row r="4479" spans="1:13" x14ac:dyDescent="0.35">
      <c r="A4479" s="30"/>
      <c r="B4479" s="30"/>
      <c r="C4479" s="30"/>
      <c r="D4479" s="30"/>
      <c r="E4479" s="30"/>
      <c r="F4479" s="30"/>
      <c r="G4479" s="30"/>
      <c r="H4479" s="30"/>
      <c r="I4479" s="30"/>
      <c r="J4479" s="30"/>
      <c r="K4479" s="30"/>
      <c r="L4479" s="30"/>
      <c r="M4479" s="30"/>
    </row>
    <row r="4480" spans="1:13" x14ac:dyDescent="0.35">
      <c r="A4480" s="30"/>
      <c r="B4480" s="30"/>
      <c r="C4480" s="30"/>
      <c r="D4480" s="30"/>
      <c r="E4480" s="30"/>
      <c r="F4480" s="30"/>
      <c r="G4480" s="30"/>
      <c r="H4480" s="30"/>
      <c r="I4480" s="30"/>
      <c r="J4480" s="30"/>
      <c r="K4480" s="30"/>
      <c r="L4480" s="30"/>
      <c r="M4480" s="30"/>
    </row>
    <row r="4488" spans="1:13" x14ac:dyDescent="0.35">
      <c r="A4488" s="83"/>
      <c r="B4488" s="29"/>
      <c r="C4488" s="29"/>
      <c r="D4488" s="29"/>
      <c r="E4488" s="29"/>
      <c r="F4488" s="29"/>
      <c r="G4488" s="29"/>
      <c r="H4488" s="29"/>
      <c r="I4488" s="29"/>
      <c r="J4488" s="29"/>
      <c r="K4488" s="29"/>
      <c r="L4488" s="29"/>
      <c r="M4488" s="29"/>
    </row>
    <row r="4489" spans="1:13" x14ac:dyDescent="0.35">
      <c r="A4489" s="83"/>
      <c r="B4489" s="29"/>
      <c r="C4489" s="29"/>
      <c r="D4489" s="29"/>
      <c r="E4489" s="29"/>
      <c r="F4489" s="29"/>
      <c r="G4489" s="29"/>
      <c r="H4489" s="29"/>
      <c r="I4489" s="29"/>
      <c r="J4489" s="29"/>
      <c r="K4489" s="29"/>
      <c r="L4489" s="29"/>
      <c r="M4489" s="29"/>
    </row>
    <row r="4490" spans="1:13" x14ac:dyDescent="0.35">
      <c r="A4490" s="84"/>
      <c r="B4490" s="28"/>
      <c r="C4490" s="28"/>
      <c r="D4490" s="28"/>
      <c r="E4490" s="28"/>
      <c r="F4490" s="28"/>
      <c r="G4490" s="28"/>
      <c r="H4490" s="28"/>
      <c r="I4490" s="28"/>
      <c r="J4490" s="28"/>
      <c r="K4490" s="28"/>
      <c r="L4490" s="28"/>
      <c r="M4490" s="28"/>
    </row>
    <row r="4491" spans="1:13" x14ac:dyDescent="0.35">
      <c r="A4491" s="83"/>
      <c r="B4491" s="29"/>
      <c r="C4491" s="29"/>
      <c r="D4491" s="29"/>
      <c r="E4491" s="29"/>
      <c r="F4491" s="29"/>
      <c r="G4491" s="29"/>
      <c r="H4491" s="29"/>
      <c r="I4491" s="29"/>
      <c r="J4491" s="29"/>
      <c r="K4491" s="29"/>
      <c r="L4491" s="29"/>
      <c r="M4491" s="29"/>
    </row>
    <row r="4492" spans="1:13" x14ac:dyDescent="0.35">
      <c r="A4492" s="84"/>
      <c r="B4492" s="28"/>
      <c r="C4492" s="28"/>
      <c r="D4492" s="28"/>
      <c r="E4492" s="28"/>
      <c r="F4492" s="28"/>
      <c r="G4492" s="28"/>
      <c r="H4492" s="28"/>
      <c r="I4492" s="28"/>
      <c r="J4492" s="28"/>
      <c r="K4492" s="28"/>
      <c r="L4492" s="28"/>
      <c r="M4492" s="28"/>
    </row>
    <row r="4493" spans="1:13" x14ac:dyDescent="0.35">
      <c r="A4493" s="30"/>
      <c r="B4493" s="30"/>
      <c r="C4493" s="30"/>
      <c r="D4493" s="30"/>
      <c r="E4493" s="30"/>
      <c r="F4493" s="30"/>
      <c r="G4493" s="30"/>
      <c r="H4493" s="30"/>
      <c r="I4493" s="30"/>
      <c r="J4493" s="30"/>
      <c r="K4493" s="30"/>
      <c r="L4493" s="30"/>
      <c r="M4493" s="30"/>
    </row>
    <row r="4494" spans="1:13" x14ac:dyDescent="0.35">
      <c r="A4494" s="83"/>
      <c r="B4494" s="29"/>
      <c r="C4494" s="29"/>
      <c r="D4494" s="29"/>
      <c r="E4494" s="29"/>
      <c r="F4494" s="29"/>
      <c r="G4494" s="29"/>
      <c r="H4494" s="29"/>
      <c r="I4494" s="29"/>
      <c r="J4494" s="29"/>
      <c r="K4494" s="29"/>
      <c r="L4494" s="29"/>
      <c r="M4494" s="29"/>
    </row>
    <row r="4495" spans="1:13" x14ac:dyDescent="0.35">
      <c r="A4495" s="84"/>
      <c r="B4495" s="28"/>
      <c r="C4495" s="28"/>
      <c r="D4495" s="28"/>
      <c r="E4495" s="28"/>
      <c r="F4495" s="28"/>
      <c r="G4495" s="28"/>
      <c r="H4495" s="28"/>
      <c r="I4495" s="28"/>
      <c r="J4495" s="28"/>
      <c r="K4495" s="28"/>
      <c r="L4495" s="28"/>
      <c r="M4495" s="28"/>
    </row>
    <row r="4498" spans="1:13" x14ac:dyDescent="0.35">
      <c r="A4498" s="83"/>
      <c r="B4498" s="29"/>
      <c r="C4498" s="29"/>
      <c r="D4498" s="29"/>
      <c r="E4498" s="29"/>
      <c r="F4498" s="29"/>
      <c r="G4498" s="29"/>
      <c r="H4498" s="29"/>
      <c r="I4498" s="29"/>
      <c r="J4498" s="29"/>
      <c r="K4498" s="29"/>
      <c r="L4498" s="29"/>
      <c r="M4498" s="29"/>
    </row>
    <row r="4499" spans="1:13" x14ac:dyDescent="0.35">
      <c r="A4499" s="83"/>
      <c r="B4499" s="29"/>
      <c r="C4499" s="29"/>
      <c r="D4499" s="29"/>
      <c r="E4499" s="29"/>
      <c r="F4499" s="29"/>
      <c r="G4499" s="29"/>
      <c r="H4499" s="29"/>
      <c r="I4499" s="29"/>
      <c r="J4499" s="29"/>
      <c r="K4499" s="29"/>
      <c r="L4499" s="29"/>
      <c r="M4499" s="29"/>
    </row>
    <row r="4500" spans="1:13" x14ac:dyDescent="0.35">
      <c r="A4500" s="83"/>
      <c r="B4500" s="29"/>
      <c r="C4500" s="29"/>
      <c r="D4500" s="29"/>
      <c r="E4500" s="29"/>
      <c r="F4500" s="29"/>
      <c r="G4500" s="29"/>
      <c r="H4500" s="29"/>
      <c r="I4500" s="29"/>
      <c r="J4500" s="29"/>
      <c r="K4500" s="29"/>
      <c r="L4500" s="29"/>
      <c r="M4500" s="29"/>
    </row>
    <row r="4501" spans="1:13" x14ac:dyDescent="0.35">
      <c r="A4501" s="84"/>
      <c r="B4501" s="28"/>
      <c r="C4501" s="28"/>
      <c r="D4501" s="28"/>
      <c r="E4501" s="28"/>
      <c r="F4501" s="28"/>
      <c r="G4501" s="28"/>
      <c r="H4501" s="28"/>
      <c r="I4501" s="28"/>
      <c r="J4501" s="28"/>
      <c r="K4501" s="28"/>
      <c r="L4501" s="28"/>
      <c r="M4501" s="28"/>
    </row>
    <row r="4502" spans="1:13" x14ac:dyDescent="0.35">
      <c r="A4502" s="83"/>
      <c r="B4502" s="29"/>
      <c r="C4502" s="29"/>
      <c r="D4502" s="29"/>
      <c r="E4502" s="29"/>
      <c r="F4502" s="29"/>
      <c r="G4502" s="29"/>
      <c r="H4502" s="29"/>
      <c r="I4502" s="29"/>
      <c r="J4502" s="29"/>
      <c r="K4502" s="29"/>
      <c r="L4502" s="29"/>
      <c r="M4502" s="29"/>
    </row>
    <row r="4505" spans="1:13" x14ac:dyDescent="0.35">
      <c r="A4505" s="30"/>
      <c r="B4505" s="30"/>
      <c r="C4505" s="30"/>
      <c r="D4505" s="30"/>
      <c r="E4505" s="30"/>
      <c r="F4505" s="30"/>
      <c r="G4505" s="30"/>
      <c r="H4505" s="30"/>
      <c r="I4505" s="30"/>
      <c r="J4505" s="30"/>
      <c r="K4505" s="30"/>
      <c r="L4505" s="30"/>
      <c r="M4505" s="30"/>
    </row>
    <row r="4507" spans="1:13" x14ac:dyDescent="0.35">
      <c r="A4507" s="30"/>
      <c r="B4507" s="30"/>
      <c r="C4507" s="30"/>
      <c r="D4507" s="30"/>
      <c r="E4507" s="30"/>
      <c r="F4507" s="30"/>
      <c r="G4507" s="30"/>
      <c r="H4507" s="30"/>
      <c r="I4507" s="30"/>
      <c r="J4507" s="30"/>
      <c r="K4507" s="30"/>
      <c r="L4507" s="30"/>
      <c r="M4507" s="30"/>
    </row>
    <row r="4511" spans="1:13" x14ac:dyDescent="0.35">
      <c r="A4511" s="30"/>
      <c r="B4511" s="30"/>
      <c r="C4511" s="30"/>
      <c r="D4511" s="30"/>
      <c r="E4511" s="30"/>
      <c r="F4511" s="30"/>
      <c r="G4511" s="30"/>
      <c r="H4511" s="30"/>
      <c r="I4511" s="30"/>
      <c r="J4511" s="30"/>
      <c r="K4511" s="30"/>
      <c r="L4511" s="30"/>
      <c r="M4511" s="30"/>
    </row>
    <row r="4515" spans="1:13" x14ac:dyDescent="0.35">
      <c r="A4515" s="83"/>
      <c r="B4515" s="29"/>
      <c r="C4515" s="29"/>
      <c r="D4515" s="29"/>
      <c r="E4515" s="29"/>
      <c r="F4515" s="29"/>
      <c r="G4515" s="29"/>
      <c r="H4515" s="29"/>
      <c r="I4515" s="29"/>
      <c r="J4515" s="29"/>
      <c r="K4515" s="29"/>
      <c r="L4515" s="29"/>
      <c r="M4515" s="29"/>
    </row>
    <row r="4516" spans="1:13" x14ac:dyDescent="0.35">
      <c r="A4516" s="84"/>
      <c r="B4516" s="28"/>
      <c r="C4516" s="28"/>
      <c r="D4516" s="28"/>
      <c r="E4516" s="28"/>
      <c r="F4516" s="28"/>
      <c r="G4516" s="28"/>
      <c r="H4516" s="28"/>
      <c r="I4516" s="28"/>
      <c r="J4516" s="28"/>
      <c r="K4516" s="28"/>
      <c r="L4516" s="28"/>
      <c r="M4516" s="28"/>
    </row>
    <row r="4517" spans="1:13" x14ac:dyDescent="0.35">
      <c r="A4517" s="83"/>
      <c r="B4517" s="29"/>
      <c r="C4517" s="29"/>
      <c r="D4517" s="29"/>
      <c r="E4517" s="29"/>
      <c r="F4517" s="29"/>
      <c r="G4517" s="29"/>
      <c r="H4517" s="29"/>
      <c r="I4517" s="29"/>
      <c r="J4517" s="29"/>
      <c r="K4517" s="29"/>
      <c r="L4517" s="29"/>
      <c r="M4517" s="29"/>
    </row>
    <row r="4518" spans="1:13" x14ac:dyDescent="0.35">
      <c r="A4518" s="84"/>
      <c r="B4518" s="28"/>
      <c r="C4518" s="28"/>
      <c r="D4518" s="28"/>
      <c r="E4518" s="28"/>
      <c r="F4518" s="28"/>
      <c r="G4518" s="28"/>
      <c r="H4518" s="28"/>
      <c r="I4518" s="28"/>
      <c r="J4518" s="28"/>
      <c r="K4518" s="28"/>
      <c r="L4518" s="28"/>
      <c r="M4518" s="28"/>
    </row>
    <row r="4519" spans="1:13" x14ac:dyDescent="0.35">
      <c r="A4519" s="84"/>
      <c r="B4519" s="28"/>
      <c r="C4519" s="28"/>
      <c r="D4519" s="28"/>
      <c r="E4519" s="28"/>
      <c r="F4519" s="28"/>
      <c r="G4519" s="28"/>
      <c r="H4519" s="28"/>
      <c r="I4519" s="28"/>
      <c r="J4519" s="28"/>
      <c r="K4519" s="28"/>
      <c r="L4519" s="28"/>
      <c r="M4519" s="28"/>
    </row>
    <row r="4520" spans="1:13" x14ac:dyDescent="0.35">
      <c r="A4520" s="84"/>
      <c r="B4520" s="28"/>
      <c r="C4520" s="28"/>
      <c r="D4520" s="28"/>
      <c r="E4520" s="28"/>
      <c r="F4520" s="28"/>
      <c r="G4520" s="28"/>
      <c r="H4520" s="28"/>
      <c r="I4520" s="28"/>
      <c r="J4520" s="28"/>
      <c r="K4520" s="28"/>
      <c r="L4520" s="28"/>
      <c r="M4520" s="28"/>
    </row>
    <row r="4524" spans="1:13" x14ac:dyDescent="0.35">
      <c r="A4524" s="84"/>
      <c r="B4524" s="28"/>
      <c r="C4524" s="28"/>
      <c r="D4524" s="28"/>
      <c r="E4524" s="28"/>
      <c r="F4524" s="28"/>
      <c r="G4524" s="28"/>
      <c r="H4524" s="28"/>
      <c r="I4524" s="28"/>
      <c r="J4524" s="28"/>
      <c r="K4524" s="28"/>
      <c r="L4524" s="28"/>
      <c r="M4524" s="28"/>
    </row>
    <row r="4525" spans="1:13" x14ac:dyDescent="0.35">
      <c r="A4525" s="84"/>
      <c r="B4525" s="28"/>
      <c r="C4525" s="28"/>
      <c r="D4525" s="28"/>
      <c r="E4525" s="28"/>
      <c r="F4525" s="28"/>
      <c r="G4525" s="28"/>
      <c r="H4525" s="28"/>
      <c r="I4525" s="28"/>
      <c r="J4525" s="28"/>
      <c r="K4525" s="28"/>
      <c r="L4525" s="28"/>
      <c r="M4525" s="28"/>
    </row>
    <row r="4526" spans="1:13" x14ac:dyDescent="0.35">
      <c r="A4526" s="83"/>
      <c r="B4526" s="29"/>
      <c r="C4526" s="29"/>
      <c r="D4526" s="29"/>
      <c r="E4526" s="29"/>
      <c r="F4526" s="29"/>
      <c r="G4526" s="29"/>
      <c r="H4526" s="29"/>
      <c r="I4526" s="29"/>
      <c r="J4526" s="29"/>
      <c r="K4526" s="29"/>
      <c r="L4526" s="29"/>
      <c r="M4526" s="29"/>
    </row>
    <row r="4527" spans="1:13" x14ac:dyDescent="0.35">
      <c r="A4527" s="84"/>
      <c r="B4527" s="28"/>
      <c r="C4527" s="28"/>
      <c r="D4527" s="28"/>
      <c r="E4527" s="28"/>
      <c r="F4527" s="28"/>
      <c r="G4527" s="28"/>
      <c r="H4527" s="28"/>
      <c r="I4527" s="28"/>
      <c r="J4527" s="28"/>
      <c r="K4527" s="28"/>
      <c r="L4527" s="28"/>
      <c r="M4527" s="28"/>
    </row>
    <row r="4528" spans="1:13" x14ac:dyDescent="0.35">
      <c r="A4528" s="83"/>
      <c r="B4528" s="29"/>
      <c r="C4528" s="29"/>
      <c r="D4528" s="29"/>
      <c r="E4528" s="29"/>
      <c r="F4528" s="29"/>
      <c r="G4528" s="29"/>
      <c r="H4528" s="29"/>
      <c r="I4528" s="29"/>
      <c r="J4528" s="29"/>
      <c r="K4528" s="29"/>
      <c r="L4528" s="29"/>
      <c r="M4528" s="29"/>
    </row>
    <row r="4532" spans="1:13" x14ac:dyDescent="0.35">
      <c r="A4532" s="30"/>
      <c r="B4532" s="30"/>
      <c r="C4532" s="30"/>
      <c r="D4532" s="30"/>
      <c r="E4532" s="30"/>
      <c r="F4532" s="30"/>
      <c r="G4532" s="30"/>
      <c r="H4532" s="30"/>
      <c r="I4532" s="30"/>
      <c r="J4532" s="30"/>
      <c r="K4532" s="30"/>
      <c r="L4532" s="30"/>
      <c r="M4532" s="30"/>
    </row>
    <row r="4533" spans="1:13" x14ac:dyDescent="0.35">
      <c r="A4533" s="30"/>
      <c r="B4533" s="30"/>
      <c r="C4533" s="30"/>
      <c r="D4533" s="30"/>
      <c r="E4533" s="30"/>
      <c r="F4533" s="30"/>
      <c r="G4533" s="30"/>
      <c r="H4533" s="30"/>
      <c r="I4533" s="30"/>
      <c r="J4533" s="30"/>
      <c r="K4533" s="30"/>
      <c r="L4533" s="30"/>
      <c r="M4533" s="30"/>
    </row>
    <row r="4534" spans="1:13" x14ac:dyDescent="0.35">
      <c r="A4534" s="30"/>
      <c r="B4534" s="30"/>
      <c r="C4534" s="30"/>
      <c r="D4534" s="30"/>
      <c r="E4534" s="30"/>
      <c r="F4534" s="30"/>
      <c r="G4534" s="30"/>
      <c r="H4534" s="30"/>
      <c r="I4534" s="30"/>
      <c r="J4534" s="30"/>
      <c r="K4534" s="30"/>
      <c r="L4534" s="30"/>
      <c r="M4534" s="30"/>
    </row>
    <row r="4535" spans="1:13" x14ac:dyDescent="0.35">
      <c r="A4535" s="30"/>
      <c r="B4535" s="30"/>
      <c r="C4535" s="30"/>
      <c r="D4535" s="30"/>
      <c r="E4535" s="30"/>
      <c r="F4535" s="30"/>
      <c r="G4535" s="30"/>
      <c r="H4535" s="30"/>
      <c r="I4535" s="30"/>
      <c r="J4535" s="30"/>
      <c r="K4535" s="30"/>
      <c r="L4535" s="30"/>
      <c r="M4535" s="30"/>
    </row>
    <row r="4536" spans="1:13" x14ac:dyDescent="0.35">
      <c r="A4536" s="30"/>
      <c r="B4536" s="30"/>
      <c r="C4536" s="30"/>
      <c r="D4536" s="30"/>
      <c r="E4536" s="30"/>
      <c r="F4536" s="30"/>
      <c r="G4536" s="30"/>
      <c r="H4536" s="30"/>
      <c r="I4536" s="30"/>
      <c r="J4536" s="30"/>
      <c r="K4536" s="30"/>
      <c r="L4536" s="30"/>
      <c r="M4536" s="30"/>
    </row>
    <row r="4539" spans="1:13" x14ac:dyDescent="0.35">
      <c r="A4539" s="30"/>
      <c r="B4539" s="30"/>
      <c r="C4539" s="30"/>
      <c r="D4539" s="30"/>
      <c r="E4539" s="30"/>
      <c r="F4539" s="30"/>
      <c r="G4539" s="30"/>
      <c r="H4539" s="30"/>
      <c r="I4539" s="30"/>
      <c r="J4539" s="30"/>
      <c r="K4539" s="30"/>
      <c r="L4539" s="30"/>
      <c r="M4539" s="30"/>
    </row>
    <row r="4556" spans="1:12" x14ac:dyDescent="0.35">
      <c r="A4556" s="30"/>
      <c r="B4556" s="30"/>
      <c r="C4556" s="30"/>
      <c r="D4556" s="30"/>
      <c r="E4556" s="30"/>
      <c r="F4556" s="30"/>
      <c r="G4556" s="30"/>
      <c r="H4556" s="30"/>
      <c r="I4556" s="30"/>
      <c r="J4556" s="30"/>
      <c r="K4556" s="30"/>
      <c r="L4556" s="30"/>
    </row>
    <row r="4557" spans="1:12" x14ac:dyDescent="0.35">
      <c r="A4557" s="30"/>
      <c r="B4557" s="30"/>
      <c r="C4557" s="30"/>
      <c r="D4557" s="30"/>
      <c r="E4557" s="30"/>
      <c r="F4557" s="30"/>
      <c r="G4557" s="30"/>
      <c r="H4557" s="30"/>
      <c r="I4557" s="30"/>
      <c r="J4557" s="30"/>
      <c r="K4557" s="30"/>
      <c r="L4557" s="30"/>
    </row>
    <row r="4558" spans="1:12" x14ac:dyDescent="0.35">
      <c r="A4558" s="30"/>
      <c r="B4558" s="30"/>
      <c r="C4558" s="30"/>
      <c r="D4558" s="30"/>
      <c r="E4558" s="30"/>
      <c r="F4558" s="30"/>
      <c r="G4558" s="30"/>
      <c r="H4558" s="30"/>
      <c r="I4558" s="30"/>
      <c r="J4558" s="30"/>
      <c r="K4558" s="30"/>
      <c r="L4558" s="30"/>
    </row>
    <row r="4560" spans="1:12" x14ac:dyDescent="0.35">
      <c r="A4560" s="30"/>
      <c r="B4560" s="30"/>
      <c r="C4560" s="30"/>
      <c r="D4560" s="30"/>
      <c r="E4560" s="30"/>
      <c r="F4560" s="30"/>
      <c r="G4560" s="30"/>
      <c r="H4560" s="30"/>
      <c r="I4560" s="30"/>
      <c r="J4560" s="30"/>
      <c r="K4560" s="30"/>
      <c r="L4560" s="30"/>
    </row>
    <row r="4564" spans="1:13" x14ac:dyDescent="0.35">
      <c r="A4564" s="30"/>
      <c r="B4564" s="30"/>
      <c r="C4564" s="30"/>
      <c r="D4564" s="30"/>
      <c r="E4564" s="30"/>
      <c r="F4564" s="30"/>
      <c r="G4564" s="30"/>
      <c r="H4564" s="30"/>
      <c r="I4564" s="30"/>
      <c r="J4564" s="30"/>
      <c r="K4564" s="30"/>
      <c r="L4564" s="30"/>
    </row>
    <row r="4567" spans="1:13" x14ac:dyDescent="0.35">
      <c r="A4567" s="30"/>
      <c r="B4567" s="30"/>
      <c r="C4567" s="30"/>
      <c r="D4567" s="30"/>
      <c r="E4567" s="30"/>
      <c r="F4567" s="30"/>
      <c r="G4567" s="30"/>
      <c r="H4567" s="30"/>
      <c r="I4567" s="30"/>
      <c r="J4567" s="30"/>
      <c r="K4567" s="30"/>
      <c r="L4567" s="30"/>
    </row>
    <row r="4570" spans="1:13" x14ac:dyDescent="0.35">
      <c r="A4570" s="30"/>
      <c r="B4570" s="30"/>
      <c r="C4570" s="30"/>
      <c r="D4570" s="30"/>
      <c r="E4570" s="30"/>
      <c r="F4570" s="30"/>
      <c r="G4570" s="30"/>
      <c r="H4570" s="30"/>
      <c r="I4570" s="30"/>
      <c r="J4570" s="30"/>
      <c r="K4570" s="30"/>
      <c r="L4570" s="30"/>
      <c r="M4570" s="30"/>
    </row>
    <row r="4571" spans="1:13" x14ac:dyDescent="0.35">
      <c r="A4571" s="30"/>
      <c r="B4571" s="30"/>
      <c r="C4571" s="30"/>
      <c r="D4571" s="30"/>
      <c r="E4571" s="30"/>
      <c r="F4571" s="30"/>
      <c r="G4571" s="30"/>
      <c r="H4571" s="30"/>
      <c r="I4571" s="30"/>
      <c r="J4571" s="30"/>
      <c r="K4571" s="30"/>
      <c r="L4571" s="30"/>
      <c r="M4571" s="30"/>
    </row>
    <row r="4572" spans="1:13" x14ac:dyDescent="0.35">
      <c r="A4572" s="30"/>
      <c r="B4572" s="30"/>
      <c r="C4572" s="30"/>
      <c r="D4572" s="30"/>
      <c r="E4572" s="30"/>
      <c r="F4572" s="30"/>
      <c r="G4572" s="30"/>
      <c r="H4572" s="30"/>
      <c r="I4572" s="30"/>
      <c r="J4572" s="30"/>
      <c r="K4572" s="30"/>
      <c r="L4572" s="30"/>
      <c r="M4572" s="30"/>
    </row>
    <row r="4573" spans="1:13" x14ac:dyDescent="0.35">
      <c r="A4573" s="30"/>
      <c r="B4573" s="30"/>
      <c r="C4573" s="30"/>
      <c r="D4573" s="30"/>
      <c r="E4573" s="30"/>
      <c r="F4573" s="30"/>
      <c r="G4573" s="30"/>
      <c r="H4573" s="30"/>
      <c r="I4573" s="30"/>
      <c r="J4573" s="30"/>
      <c r="K4573" s="30"/>
      <c r="L4573" s="30"/>
      <c r="M4573" s="30"/>
    </row>
    <row r="4577" spans="1:13" x14ac:dyDescent="0.35">
      <c r="A4577" s="30"/>
      <c r="B4577" s="30"/>
      <c r="C4577" s="30"/>
      <c r="D4577" s="30"/>
      <c r="E4577" s="30"/>
      <c r="F4577" s="30"/>
      <c r="G4577" s="30"/>
      <c r="H4577" s="30"/>
      <c r="I4577" s="30"/>
      <c r="J4577" s="30"/>
      <c r="K4577" s="30"/>
      <c r="L4577" s="30"/>
      <c r="M4577" s="30"/>
    </row>
    <row r="4580" spans="1:13" x14ac:dyDescent="0.35">
      <c r="A4580" s="30"/>
      <c r="B4580" s="30"/>
      <c r="C4580" s="30"/>
      <c r="D4580" s="30"/>
      <c r="E4580" s="30"/>
      <c r="F4580" s="30"/>
      <c r="G4580" s="30"/>
      <c r="H4580" s="30"/>
      <c r="I4580" s="30"/>
      <c r="J4580" s="30"/>
      <c r="K4580" s="30"/>
      <c r="L4580" s="30"/>
      <c r="M4580" s="30"/>
    </row>
    <row r="4581" spans="1:13" x14ac:dyDescent="0.35">
      <c r="A4581" s="30"/>
      <c r="B4581" s="30"/>
      <c r="C4581" s="30"/>
      <c r="D4581" s="30"/>
      <c r="E4581" s="30"/>
      <c r="F4581" s="30"/>
      <c r="G4581" s="30"/>
      <c r="H4581" s="30"/>
      <c r="I4581" s="30"/>
      <c r="J4581" s="30"/>
      <c r="K4581" s="30"/>
      <c r="L4581" s="30"/>
      <c r="M4581" s="30"/>
    </row>
    <row r="4583" spans="1:13" x14ac:dyDescent="0.35">
      <c r="A4583" s="30"/>
      <c r="B4583" s="30"/>
      <c r="C4583" s="30"/>
      <c r="D4583" s="30"/>
      <c r="E4583" s="30"/>
      <c r="F4583" s="30"/>
      <c r="G4583" s="30"/>
      <c r="H4583" s="30"/>
      <c r="I4583" s="30"/>
      <c r="J4583" s="30"/>
      <c r="K4583" s="30"/>
      <c r="L4583" s="30"/>
      <c r="M4583" s="30"/>
    </row>
    <row r="4589" spans="1:13" x14ac:dyDescent="0.35">
      <c r="A4589" s="30"/>
      <c r="B4589" s="30"/>
      <c r="C4589" s="30"/>
      <c r="D4589" s="30"/>
      <c r="E4589" s="30"/>
      <c r="F4589" s="30"/>
      <c r="G4589" s="30"/>
      <c r="H4589" s="30"/>
      <c r="I4589" s="30"/>
      <c r="J4589" s="30"/>
      <c r="K4589" s="30"/>
      <c r="L4589" s="30"/>
      <c r="M4589" s="30"/>
    </row>
    <row r="4591" spans="1:13" x14ac:dyDescent="0.35">
      <c r="A4591" s="30"/>
      <c r="B4591" s="30"/>
      <c r="C4591" s="30"/>
      <c r="D4591" s="30"/>
      <c r="E4591" s="30"/>
      <c r="F4591" s="30"/>
      <c r="G4591" s="30"/>
      <c r="H4591" s="30"/>
      <c r="I4591" s="30"/>
      <c r="J4591" s="30"/>
      <c r="K4591" s="30"/>
      <c r="L4591" s="30"/>
      <c r="M4591" s="30"/>
    </row>
    <row r="4595" spans="1:13" x14ac:dyDescent="0.35">
      <c r="A4595" s="30"/>
      <c r="B4595" s="30"/>
      <c r="C4595" s="30"/>
      <c r="D4595" s="30"/>
      <c r="E4595" s="30"/>
      <c r="F4595" s="30"/>
      <c r="G4595" s="30"/>
      <c r="H4595" s="30"/>
      <c r="I4595" s="30"/>
      <c r="J4595" s="30"/>
      <c r="K4595" s="30"/>
      <c r="L4595" s="30"/>
      <c r="M4595" s="30"/>
    </row>
    <row r="4596" spans="1:13" x14ac:dyDescent="0.35">
      <c r="A4596" s="30"/>
      <c r="B4596" s="30"/>
      <c r="C4596" s="30"/>
      <c r="D4596" s="30"/>
      <c r="E4596" s="30"/>
      <c r="F4596" s="30"/>
      <c r="G4596" s="30"/>
      <c r="H4596" s="30"/>
      <c r="I4596" s="30"/>
      <c r="J4596" s="30"/>
      <c r="K4596" s="30"/>
      <c r="L4596" s="30"/>
      <c r="M4596" s="30"/>
    </row>
    <row r="4599" spans="1:13" x14ac:dyDescent="0.35">
      <c r="A4599" s="30"/>
      <c r="B4599" s="30"/>
      <c r="C4599" s="30"/>
      <c r="D4599" s="30"/>
      <c r="E4599" s="30"/>
      <c r="F4599" s="30"/>
      <c r="G4599" s="30"/>
      <c r="H4599" s="30"/>
      <c r="I4599" s="30"/>
      <c r="J4599" s="30"/>
      <c r="K4599" s="30"/>
      <c r="L4599" s="30"/>
      <c r="M4599" s="30"/>
    </row>
    <row r="4600" spans="1:13" x14ac:dyDescent="0.35">
      <c r="A4600" s="30"/>
      <c r="B4600" s="30"/>
      <c r="C4600" s="30"/>
      <c r="D4600" s="30"/>
      <c r="E4600" s="30"/>
      <c r="F4600" s="30"/>
      <c r="G4600" s="30"/>
      <c r="H4600" s="30"/>
      <c r="I4600" s="30"/>
      <c r="J4600" s="30"/>
      <c r="K4600" s="30"/>
      <c r="L4600" s="30"/>
      <c r="M4600" s="30"/>
    </row>
    <row r="4603" spans="1:13" x14ac:dyDescent="0.35">
      <c r="A4603" s="30"/>
      <c r="B4603" s="30"/>
      <c r="C4603" s="30"/>
      <c r="D4603" s="30"/>
      <c r="E4603" s="30"/>
      <c r="F4603" s="30"/>
      <c r="G4603" s="30"/>
      <c r="H4603" s="30"/>
      <c r="I4603" s="30"/>
      <c r="J4603" s="30"/>
      <c r="K4603" s="30"/>
      <c r="L4603" s="30"/>
      <c r="M4603" s="30"/>
    </row>
    <row r="4606" spans="1:13" x14ac:dyDescent="0.35">
      <c r="A4606" s="30"/>
      <c r="B4606" s="30"/>
      <c r="C4606" s="30"/>
      <c r="D4606" s="30"/>
      <c r="E4606" s="30"/>
      <c r="F4606" s="30"/>
      <c r="G4606" s="30"/>
      <c r="H4606" s="30"/>
      <c r="I4606" s="30"/>
      <c r="J4606" s="30"/>
      <c r="K4606" s="30"/>
      <c r="L4606" s="30"/>
      <c r="M4606" s="30"/>
    </row>
    <row r="4607" spans="1:13" x14ac:dyDescent="0.35">
      <c r="A4607" s="30"/>
      <c r="B4607" s="30"/>
      <c r="C4607" s="30"/>
      <c r="D4607" s="30"/>
      <c r="E4607" s="30"/>
      <c r="F4607" s="30"/>
      <c r="G4607" s="30"/>
      <c r="H4607" s="30"/>
      <c r="I4607" s="30"/>
      <c r="J4607" s="30"/>
      <c r="K4607" s="30"/>
      <c r="L4607" s="30"/>
      <c r="M4607" s="30"/>
    </row>
    <row r="4609" spans="1:13" x14ac:dyDescent="0.35">
      <c r="A4609" s="30"/>
      <c r="B4609" s="30"/>
      <c r="C4609" s="30"/>
      <c r="D4609" s="30"/>
      <c r="E4609" s="30"/>
      <c r="F4609" s="30"/>
      <c r="G4609" s="30"/>
      <c r="H4609" s="30"/>
      <c r="I4609" s="30"/>
      <c r="J4609" s="30"/>
      <c r="K4609" s="30"/>
      <c r="L4609" s="30"/>
      <c r="M4609" s="30"/>
    </row>
    <row r="4610" spans="1:13" x14ac:dyDescent="0.35">
      <c r="A4610" s="30"/>
      <c r="B4610" s="30"/>
      <c r="C4610" s="30"/>
      <c r="D4610" s="30"/>
      <c r="E4610" s="30"/>
      <c r="F4610" s="30"/>
      <c r="G4610" s="30"/>
      <c r="H4610" s="30"/>
      <c r="I4610" s="30"/>
      <c r="J4610" s="30"/>
      <c r="K4610" s="30"/>
      <c r="L4610" s="30"/>
      <c r="M4610" s="30"/>
    </row>
    <row r="4611" spans="1:13" x14ac:dyDescent="0.35">
      <c r="A4611" s="30"/>
      <c r="B4611" s="30"/>
      <c r="C4611" s="30"/>
      <c r="D4611" s="30"/>
      <c r="E4611" s="30"/>
      <c r="F4611" s="30"/>
      <c r="G4611" s="30"/>
      <c r="H4611" s="30"/>
      <c r="I4611" s="30"/>
      <c r="J4611" s="30"/>
      <c r="K4611" s="30"/>
      <c r="L4611" s="30"/>
      <c r="M4611" s="30"/>
    </row>
    <row r="4612" spans="1:13" x14ac:dyDescent="0.35">
      <c r="A4612" s="30"/>
      <c r="B4612" s="30"/>
      <c r="C4612" s="30"/>
      <c r="D4612" s="30"/>
      <c r="E4612" s="30"/>
      <c r="F4612" s="30"/>
      <c r="G4612" s="30"/>
      <c r="H4612" s="30"/>
      <c r="I4612" s="30"/>
      <c r="J4612" s="30"/>
      <c r="K4612" s="30"/>
      <c r="L4612" s="30"/>
      <c r="M4612" s="30"/>
    </row>
    <row r="4614" spans="1:13" x14ac:dyDescent="0.35">
      <c r="A4614" s="30"/>
      <c r="B4614" s="30"/>
      <c r="C4614" s="30"/>
      <c r="D4614" s="30"/>
      <c r="E4614" s="30"/>
      <c r="F4614" s="30"/>
      <c r="G4614" s="30"/>
      <c r="H4614" s="30"/>
      <c r="I4614" s="30"/>
      <c r="J4614" s="30"/>
      <c r="K4614" s="30"/>
      <c r="L4614" s="30"/>
      <c r="M4614" s="30"/>
    </row>
    <row r="4623" spans="1:13" x14ac:dyDescent="0.35">
      <c r="A4623" s="30"/>
      <c r="B4623" s="30"/>
      <c r="C4623" s="30"/>
      <c r="D4623" s="30"/>
      <c r="E4623" s="30"/>
      <c r="F4623" s="30"/>
      <c r="G4623" s="30"/>
      <c r="H4623" s="30"/>
      <c r="I4623" s="30"/>
      <c r="J4623" s="30"/>
      <c r="K4623" s="30"/>
      <c r="L4623" s="30"/>
      <c r="M4623" s="30"/>
    </row>
    <row r="4626" spans="1:13" x14ac:dyDescent="0.35">
      <c r="A4626" s="30"/>
      <c r="B4626" s="30"/>
      <c r="C4626" s="30"/>
      <c r="D4626" s="30"/>
      <c r="E4626" s="30"/>
      <c r="F4626" s="30"/>
      <c r="G4626" s="30"/>
      <c r="H4626" s="30"/>
      <c r="I4626" s="30"/>
      <c r="J4626" s="30"/>
      <c r="K4626" s="30"/>
      <c r="L4626" s="30"/>
      <c r="M4626" s="30"/>
    </row>
    <row r="4628" spans="1:13" x14ac:dyDescent="0.35">
      <c r="A4628" s="30"/>
      <c r="B4628" s="30"/>
      <c r="C4628" s="30"/>
      <c r="D4628" s="30"/>
      <c r="E4628" s="30"/>
      <c r="F4628" s="30"/>
      <c r="G4628" s="30"/>
      <c r="H4628" s="30"/>
      <c r="I4628" s="30"/>
      <c r="J4628" s="30"/>
      <c r="K4628" s="30"/>
      <c r="L4628" s="30"/>
      <c r="M4628" s="30"/>
    </row>
    <row r="4630" spans="1:13" x14ac:dyDescent="0.35">
      <c r="A4630" s="30"/>
      <c r="B4630" s="30"/>
      <c r="C4630" s="30"/>
      <c r="D4630" s="30"/>
      <c r="E4630" s="30"/>
      <c r="F4630" s="30"/>
      <c r="G4630" s="30"/>
      <c r="H4630" s="30"/>
      <c r="I4630" s="30"/>
      <c r="J4630" s="30"/>
      <c r="K4630" s="30"/>
      <c r="L4630" s="30"/>
      <c r="M4630" s="30"/>
    </row>
    <row r="4633" spans="1:13" x14ac:dyDescent="0.35">
      <c r="A4633" s="30"/>
      <c r="B4633" s="30"/>
      <c r="C4633" s="30"/>
      <c r="D4633" s="30"/>
      <c r="E4633" s="30"/>
      <c r="F4633" s="30"/>
      <c r="G4633" s="30"/>
      <c r="H4633" s="30"/>
      <c r="I4633" s="30"/>
      <c r="J4633" s="30"/>
      <c r="K4633" s="30"/>
      <c r="L4633" s="30"/>
      <c r="M4633" s="30"/>
    </row>
    <row r="4634" spans="1:13" x14ac:dyDescent="0.35">
      <c r="A4634" s="30"/>
      <c r="B4634" s="30"/>
      <c r="C4634" s="30"/>
      <c r="D4634" s="30"/>
      <c r="E4634" s="30"/>
      <c r="F4634" s="30"/>
      <c r="G4634" s="30"/>
      <c r="H4634" s="30"/>
      <c r="I4634" s="30"/>
      <c r="J4634" s="30"/>
      <c r="K4634" s="30"/>
      <c r="L4634" s="30"/>
      <c r="M4634" s="30"/>
    </row>
    <row r="4635" spans="1:13" x14ac:dyDescent="0.35">
      <c r="A4635" s="30"/>
      <c r="B4635" s="30"/>
      <c r="C4635" s="30"/>
      <c r="D4635" s="30"/>
      <c r="E4635" s="30"/>
      <c r="F4635" s="30"/>
      <c r="G4635" s="30"/>
      <c r="H4635" s="30"/>
      <c r="I4635" s="30"/>
      <c r="J4635" s="30"/>
      <c r="K4635" s="30"/>
      <c r="L4635" s="30"/>
      <c r="M4635" s="30"/>
    </row>
    <row r="4638" spans="1:13" x14ac:dyDescent="0.35">
      <c r="A4638" s="30"/>
      <c r="B4638" s="30"/>
      <c r="C4638" s="30"/>
      <c r="D4638" s="30"/>
      <c r="E4638" s="30"/>
      <c r="F4638" s="30"/>
      <c r="G4638" s="30"/>
      <c r="H4638" s="30"/>
      <c r="I4638" s="30"/>
      <c r="J4638" s="30"/>
      <c r="K4638" s="30"/>
      <c r="L4638" s="30"/>
      <c r="M4638" s="30"/>
    </row>
    <row r="4652" spans="1:13" x14ac:dyDescent="0.35">
      <c r="A4652" s="83"/>
      <c r="B4652" s="29"/>
      <c r="C4652" s="29"/>
      <c r="D4652" s="29"/>
      <c r="E4652" s="29"/>
      <c r="F4652" s="29"/>
      <c r="G4652" s="29"/>
      <c r="H4652" s="29"/>
      <c r="I4652" s="29"/>
      <c r="J4652" s="29"/>
      <c r="K4652" s="29"/>
      <c r="L4652" s="29"/>
      <c r="M4652" s="29"/>
    </row>
    <row r="4653" spans="1:13" x14ac:dyDescent="0.35">
      <c r="A4653" s="84"/>
      <c r="B4653" s="28"/>
      <c r="C4653" s="28"/>
      <c r="D4653" s="28"/>
      <c r="E4653" s="28"/>
      <c r="F4653" s="28"/>
      <c r="G4653" s="28"/>
      <c r="H4653" s="28"/>
      <c r="I4653" s="28"/>
      <c r="J4653" s="28"/>
      <c r="K4653" s="28"/>
      <c r="L4653" s="28"/>
      <c r="M4653" s="28"/>
    </row>
    <row r="4654" spans="1:13" x14ac:dyDescent="0.35">
      <c r="A4654" s="83"/>
      <c r="B4654" s="29"/>
      <c r="C4654" s="29"/>
      <c r="D4654" s="29"/>
      <c r="E4654" s="29"/>
      <c r="F4654" s="29"/>
      <c r="G4654" s="29"/>
      <c r="H4654" s="29"/>
      <c r="I4654" s="29"/>
      <c r="J4654" s="29"/>
      <c r="K4654" s="29"/>
      <c r="L4654" s="29"/>
      <c r="M4654" s="29"/>
    </row>
    <row r="4655" spans="1:13" x14ac:dyDescent="0.35">
      <c r="A4655" s="83"/>
      <c r="B4655" s="29"/>
      <c r="C4655" s="29"/>
      <c r="D4655" s="29"/>
      <c r="E4655" s="29"/>
      <c r="F4655" s="29"/>
      <c r="G4655" s="29"/>
      <c r="H4655" s="29"/>
      <c r="I4655" s="29"/>
      <c r="J4655" s="29"/>
      <c r="K4655" s="29"/>
      <c r="L4655" s="29"/>
      <c r="M4655" s="29"/>
    </row>
    <row r="4656" spans="1:13" x14ac:dyDescent="0.35">
      <c r="A4656" s="83"/>
      <c r="B4656" s="29"/>
      <c r="C4656" s="29"/>
      <c r="D4656" s="29"/>
      <c r="E4656" s="29"/>
      <c r="F4656" s="29"/>
      <c r="G4656" s="29"/>
      <c r="H4656" s="29"/>
      <c r="I4656" s="29"/>
      <c r="J4656" s="29"/>
      <c r="K4656" s="29"/>
      <c r="L4656" s="29"/>
      <c r="M4656" s="29"/>
    </row>
    <row r="4657" spans="1:13" x14ac:dyDescent="0.35">
      <c r="A4657" s="83"/>
      <c r="B4657" s="29"/>
      <c r="C4657" s="29"/>
      <c r="D4657" s="29"/>
      <c r="E4657" s="29"/>
      <c r="F4657" s="29"/>
      <c r="G4657" s="29"/>
      <c r="H4657" s="29"/>
      <c r="I4657" s="29"/>
      <c r="J4657" s="29"/>
      <c r="K4657" s="29"/>
      <c r="L4657" s="29"/>
      <c r="M4657" s="29"/>
    </row>
    <row r="4658" spans="1:13" x14ac:dyDescent="0.35">
      <c r="A4658" s="83"/>
      <c r="B4658" s="29"/>
      <c r="C4658" s="29"/>
      <c r="D4658" s="29"/>
      <c r="E4658" s="29"/>
      <c r="F4658" s="29"/>
      <c r="G4658" s="29"/>
      <c r="H4658" s="29"/>
      <c r="I4658" s="29"/>
      <c r="J4658" s="29"/>
      <c r="K4658" s="29"/>
      <c r="L4658" s="29"/>
      <c r="M4658" s="29"/>
    </row>
    <row r="4659" spans="1:13" x14ac:dyDescent="0.35">
      <c r="A4659" s="84"/>
      <c r="B4659" s="28"/>
      <c r="C4659" s="28"/>
      <c r="D4659" s="28"/>
      <c r="E4659" s="28"/>
      <c r="F4659" s="28"/>
      <c r="G4659" s="28"/>
      <c r="H4659" s="28"/>
      <c r="I4659" s="28"/>
      <c r="J4659" s="28"/>
      <c r="K4659" s="28"/>
      <c r="L4659" s="28"/>
      <c r="M4659" s="28"/>
    </row>
    <row r="4660" spans="1:13" x14ac:dyDescent="0.35">
      <c r="A4660" s="84"/>
      <c r="B4660" s="28"/>
      <c r="C4660" s="28"/>
      <c r="D4660" s="28"/>
      <c r="E4660" s="28"/>
      <c r="F4660" s="28"/>
      <c r="G4660" s="28"/>
      <c r="H4660" s="28"/>
      <c r="I4660" s="28"/>
      <c r="J4660" s="28"/>
      <c r="K4660" s="28"/>
      <c r="L4660" s="28"/>
      <c r="M4660" s="28"/>
    </row>
    <row r="4661" spans="1:13" x14ac:dyDescent="0.35">
      <c r="A4661" s="84"/>
      <c r="B4661" s="28"/>
      <c r="C4661" s="28"/>
      <c r="D4661" s="28"/>
      <c r="E4661" s="28"/>
      <c r="F4661" s="28"/>
      <c r="G4661" s="28"/>
      <c r="H4661" s="28"/>
      <c r="I4661" s="28"/>
      <c r="J4661" s="28"/>
      <c r="K4661" s="28"/>
      <c r="L4661" s="28"/>
      <c r="M4661" s="28"/>
    </row>
    <row r="4662" spans="1:13" x14ac:dyDescent="0.35">
      <c r="A4662" s="83"/>
      <c r="B4662" s="29"/>
      <c r="C4662" s="29"/>
      <c r="D4662" s="29"/>
      <c r="E4662" s="29"/>
      <c r="F4662" s="29"/>
      <c r="G4662" s="29"/>
      <c r="H4662" s="29"/>
      <c r="I4662" s="29"/>
      <c r="J4662" s="29"/>
      <c r="K4662" s="29"/>
      <c r="L4662" s="29"/>
      <c r="M4662" s="29"/>
    </row>
    <row r="4663" spans="1:13" x14ac:dyDescent="0.35">
      <c r="A4663" s="83"/>
      <c r="B4663" s="29"/>
      <c r="C4663" s="29"/>
      <c r="D4663" s="29"/>
      <c r="E4663" s="29"/>
      <c r="F4663" s="29"/>
      <c r="G4663" s="29"/>
      <c r="H4663" s="29"/>
      <c r="I4663" s="29"/>
      <c r="J4663" s="29"/>
      <c r="K4663" s="29"/>
      <c r="L4663" s="29"/>
      <c r="M4663" s="29"/>
    </row>
    <row r="4664" spans="1:13" x14ac:dyDescent="0.35">
      <c r="A4664" s="84"/>
      <c r="B4664" s="28"/>
      <c r="C4664" s="28"/>
      <c r="D4664" s="28"/>
      <c r="E4664" s="28"/>
      <c r="F4664" s="28"/>
      <c r="G4664" s="28"/>
      <c r="H4664" s="28"/>
      <c r="I4664" s="28"/>
      <c r="J4664" s="28"/>
      <c r="K4664" s="28"/>
      <c r="L4664" s="28"/>
      <c r="M4664" s="28"/>
    </row>
    <row r="4665" spans="1:13" x14ac:dyDescent="0.35">
      <c r="A4665" s="83"/>
      <c r="B4665" s="29"/>
      <c r="C4665" s="29"/>
      <c r="D4665" s="29"/>
      <c r="E4665" s="29"/>
      <c r="F4665" s="29"/>
      <c r="G4665" s="29"/>
      <c r="H4665" s="29"/>
      <c r="I4665" s="29"/>
      <c r="J4665" s="29"/>
      <c r="K4665" s="29"/>
      <c r="L4665" s="29"/>
      <c r="M4665" s="29"/>
    </row>
    <row r="4666" spans="1:13" x14ac:dyDescent="0.35">
      <c r="A4666" s="83"/>
      <c r="B4666" s="29"/>
      <c r="C4666" s="29"/>
      <c r="D4666" s="29"/>
      <c r="E4666" s="29"/>
      <c r="F4666" s="29"/>
      <c r="G4666" s="29"/>
      <c r="H4666" s="29"/>
      <c r="I4666" s="29"/>
      <c r="J4666" s="29"/>
      <c r="K4666" s="29"/>
      <c r="L4666" s="29"/>
      <c r="M4666" s="29"/>
    </row>
    <row r="4667" spans="1:13" x14ac:dyDescent="0.35">
      <c r="A4667" s="84"/>
      <c r="B4667" s="28"/>
      <c r="C4667" s="28"/>
      <c r="D4667" s="28"/>
      <c r="E4667" s="28"/>
      <c r="F4667" s="28"/>
      <c r="G4667" s="28"/>
      <c r="H4667" s="28"/>
      <c r="I4667" s="28"/>
      <c r="J4667" s="28"/>
      <c r="K4667" s="28"/>
      <c r="L4667" s="28"/>
      <c r="M4667" s="28"/>
    </row>
    <row r="4668" spans="1:13" x14ac:dyDescent="0.35">
      <c r="A4668" s="84"/>
      <c r="B4668" s="28"/>
      <c r="C4668" s="28"/>
      <c r="D4668" s="28"/>
      <c r="E4668" s="28"/>
      <c r="F4668" s="28"/>
      <c r="G4668" s="28"/>
      <c r="H4668" s="28"/>
      <c r="I4668" s="28"/>
      <c r="J4668" s="28"/>
      <c r="K4668" s="28"/>
      <c r="L4668" s="28"/>
      <c r="M4668" s="28"/>
    </row>
    <row r="4669" spans="1:13" x14ac:dyDescent="0.35">
      <c r="A4669" s="83"/>
      <c r="B4669" s="29"/>
      <c r="C4669" s="29"/>
      <c r="D4669" s="29"/>
      <c r="E4669" s="29"/>
      <c r="F4669" s="29"/>
      <c r="G4669" s="29"/>
      <c r="H4669" s="29"/>
      <c r="I4669" s="29"/>
      <c r="J4669" s="29"/>
      <c r="K4669" s="29"/>
      <c r="L4669" s="29"/>
      <c r="M4669" s="29"/>
    </row>
    <row r="4670" spans="1:13" x14ac:dyDescent="0.35">
      <c r="A4670" s="84"/>
      <c r="B4670" s="28"/>
      <c r="C4670" s="28"/>
      <c r="D4670" s="28"/>
      <c r="E4670" s="28"/>
      <c r="F4670" s="28"/>
      <c r="G4670" s="28"/>
      <c r="H4670" s="28"/>
      <c r="I4670" s="28"/>
      <c r="J4670" s="28"/>
      <c r="K4670" s="28"/>
      <c r="L4670" s="28"/>
      <c r="M4670" s="28"/>
    </row>
    <row r="4671" spans="1:13" x14ac:dyDescent="0.35">
      <c r="A4671" s="83"/>
      <c r="B4671" s="29"/>
      <c r="C4671" s="29"/>
      <c r="D4671" s="29"/>
      <c r="E4671" s="29"/>
      <c r="F4671" s="29"/>
      <c r="G4671" s="29"/>
      <c r="H4671" s="29"/>
      <c r="I4671" s="29"/>
      <c r="J4671" s="29"/>
      <c r="K4671" s="29"/>
      <c r="L4671" s="29"/>
      <c r="M4671" s="29"/>
    </row>
    <row r="4672" spans="1:13" x14ac:dyDescent="0.35">
      <c r="A4672" s="84"/>
      <c r="B4672" s="28"/>
      <c r="C4672" s="28"/>
      <c r="D4672" s="28"/>
      <c r="E4672" s="28"/>
      <c r="F4672" s="28"/>
      <c r="G4672" s="28"/>
      <c r="H4672" s="28"/>
      <c r="I4672" s="28"/>
      <c r="J4672" s="28"/>
      <c r="K4672" s="28"/>
      <c r="L4672" s="28"/>
      <c r="M4672" s="28"/>
    </row>
    <row r="4673" spans="1:13" x14ac:dyDescent="0.35">
      <c r="A4673" s="83"/>
      <c r="B4673" s="29"/>
      <c r="C4673" s="29"/>
      <c r="D4673" s="29"/>
      <c r="E4673" s="29"/>
      <c r="F4673" s="29"/>
      <c r="G4673" s="29"/>
      <c r="H4673" s="29"/>
      <c r="I4673" s="29"/>
      <c r="J4673" s="29"/>
      <c r="K4673" s="29"/>
      <c r="L4673" s="29"/>
      <c r="M4673" s="29"/>
    </row>
    <row r="4674" spans="1:13" x14ac:dyDescent="0.35">
      <c r="A4674" s="84"/>
      <c r="B4674" s="28"/>
      <c r="C4674" s="28"/>
      <c r="D4674" s="28"/>
      <c r="E4674" s="28"/>
      <c r="F4674" s="28"/>
      <c r="G4674" s="28"/>
      <c r="H4674" s="28"/>
      <c r="I4674" s="28"/>
      <c r="J4674" s="28"/>
      <c r="K4674" s="28"/>
      <c r="L4674" s="28"/>
      <c r="M4674" s="28"/>
    </row>
    <row r="4675" spans="1:13" x14ac:dyDescent="0.35">
      <c r="A4675" s="83"/>
      <c r="B4675" s="29"/>
      <c r="C4675" s="29"/>
      <c r="D4675" s="29"/>
      <c r="E4675" s="29"/>
      <c r="F4675" s="29"/>
      <c r="G4675" s="29"/>
      <c r="H4675" s="29"/>
      <c r="I4675" s="29"/>
      <c r="J4675" s="29"/>
      <c r="K4675" s="29"/>
      <c r="L4675" s="29"/>
      <c r="M4675" s="29"/>
    </row>
    <row r="4676" spans="1:13" x14ac:dyDescent="0.35">
      <c r="A4676" s="83"/>
      <c r="B4676" s="29"/>
      <c r="C4676" s="29"/>
      <c r="D4676" s="29"/>
      <c r="E4676" s="29"/>
      <c r="F4676" s="29"/>
      <c r="G4676" s="29"/>
      <c r="H4676" s="29"/>
      <c r="I4676" s="29"/>
      <c r="J4676" s="29"/>
      <c r="K4676" s="29"/>
      <c r="L4676" s="29"/>
      <c r="M4676" s="29"/>
    </row>
    <row r="4677" spans="1:13" x14ac:dyDescent="0.35">
      <c r="A4677" s="84"/>
      <c r="B4677" s="28"/>
      <c r="C4677" s="28"/>
      <c r="D4677" s="28"/>
      <c r="E4677" s="28"/>
      <c r="F4677" s="28"/>
      <c r="G4677" s="28"/>
      <c r="H4677" s="28"/>
      <c r="I4677" s="28"/>
      <c r="J4677" s="28"/>
      <c r="K4677" s="28"/>
      <c r="L4677" s="28"/>
      <c r="M4677" s="28"/>
    </row>
    <row r="4678" spans="1:13" x14ac:dyDescent="0.35">
      <c r="A4678" s="84"/>
      <c r="B4678" s="28"/>
      <c r="C4678" s="28"/>
      <c r="D4678" s="28"/>
      <c r="E4678" s="28"/>
      <c r="F4678" s="28"/>
      <c r="G4678" s="28"/>
      <c r="H4678" s="28"/>
      <c r="I4678" s="28"/>
      <c r="J4678" s="28"/>
      <c r="K4678" s="28"/>
      <c r="L4678" s="28"/>
      <c r="M4678" s="28"/>
    </row>
    <row r="4679" spans="1:13" x14ac:dyDescent="0.35">
      <c r="A4679" s="83"/>
      <c r="B4679" s="29"/>
      <c r="C4679" s="29"/>
      <c r="D4679" s="29"/>
      <c r="E4679" s="29"/>
      <c r="F4679" s="29"/>
      <c r="G4679" s="29"/>
      <c r="H4679" s="29"/>
      <c r="I4679" s="29"/>
      <c r="J4679" s="29"/>
      <c r="K4679" s="29"/>
      <c r="L4679" s="29"/>
      <c r="M4679" s="29"/>
    </row>
    <row r="4680" spans="1:13" x14ac:dyDescent="0.35">
      <c r="A4680" s="83"/>
      <c r="B4680" s="29"/>
      <c r="C4680" s="29"/>
      <c r="D4680" s="29"/>
      <c r="E4680" s="29"/>
      <c r="F4680" s="29"/>
      <c r="G4680" s="29"/>
      <c r="H4680" s="29"/>
      <c r="I4680" s="29"/>
      <c r="J4680" s="29"/>
      <c r="K4680" s="29"/>
      <c r="L4680" s="29"/>
      <c r="M4680" s="29"/>
    </row>
    <row r="4681" spans="1:13" x14ac:dyDescent="0.35">
      <c r="A4681" s="84"/>
      <c r="B4681" s="28"/>
      <c r="C4681" s="28"/>
      <c r="D4681" s="28"/>
      <c r="E4681" s="28"/>
      <c r="F4681" s="28"/>
      <c r="G4681" s="28"/>
      <c r="H4681" s="28"/>
      <c r="I4681" s="28"/>
      <c r="J4681" s="28"/>
      <c r="K4681" s="28"/>
      <c r="L4681" s="28"/>
      <c r="M4681" s="28"/>
    </row>
    <row r="4682" spans="1:13" x14ac:dyDescent="0.35">
      <c r="A4682" s="84"/>
      <c r="B4682" s="28"/>
      <c r="C4682" s="28"/>
      <c r="D4682" s="28"/>
      <c r="E4682" s="28"/>
      <c r="F4682" s="28"/>
      <c r="G4682" s="28"/>
      <c r="H4682" s="28"/>
      <c r="I4682" s="28"/>
      <c r="J4682" s="28"/>
      <c r="K4682" s="28"/>
      <c r="L4682" s="28"/>
      <c r="M4682" s="28"/>
    </row>
    <row r="4683" spans="1:13" x14ac:dyDescent="0.35">
      <c r="A4683" s="83"/>
      <c r="B4683" s="29"/>
      <c r="C4683" s="29"/>
      <c r="D4683" s="29"/>
      <c r="E4683" s="29"/>
      <c r="F4683" s="29"/>
      <c r="G4683" s="29"/>
      <c r="H4683" s="29"/>
      <c r="I4683" s="29"/>
      <c r="J4683" s="29"/>
      <c r="K4683" s="29"/>
      <c r="L4683" s="29"/>
      <c r="M4683" s="29"/>
    </row>
    <row r="4684" spans="1:13" x14ac:dyDescent="0.35">
      <c r="A4684" s="83"/>
      <c r="B4684" s="29"/>
      <c r="C4684" s="29"/>
      <c r="D4684" s="29"/>
      <c r="E4684" s="29"/>
      <c r="F4684" s="29"/>
      <c r="G4684" s="29"/>
      <c r="H4684" s="29"/>
      <c r="I4684" s="29"/>
      <c r="J4684" s="29"/>
      <c r="K4684" s="29"/>
      <c r="L4684" s="29"/>
      <c r="M4684" s="29"/>
    </row>
    <row r="4685" spans="1:13" x14ac:dyDescent="0.35">
      <c r="A4685" s="85"/>
      <c r="B4685" s="23"/>
      <c r="C4685" s="23"/>
      <c r="D4685" s="23"/>
      <c r="E4685" s="23"/>
      <c r="F4685" s="23"/>
      <c r="G4685" s="23"/>
      <c r="H4685" s="23"/>
      <c r="I4685" s="23"/>
      <c r="J4685" s="23"/>
      <c r="K4685" s="23"/>
      <c r="L4685" s="23"/>
      <c r="M4685" s="24"/>
    </row>
    <row r="4686" spans="1:13" x14ac:dyDescent="0.35">
      <c r="A4686" s="86"/>
      <c r="B4686" s="21"/>
      <c r="C4686" s="21"/>
      <c r="D4686" s="21"/>
      <c r="E4686" s="21"/>
      <c r="F4686" s="21"/>
      <c r="G4686" s="21"/>
      <c r="H4686" s="21"/>
      <c r="I4686" s="21"/>
      <c r="J4686" s="21"/>
      <c r="K4686" s="21"/>
      <c r="L4686" s="21"/>
      <c r="M4686" s="22"/>
    </row>
    <row r="4687" spans="1:13" x14ac:dyDescent="0.35">
      <c r="A4687" s="85"/>
      <c r="B4687" s="23"/>
      <c r="C4687" s="23"/>
      <c r="D4687" s="23"/>
      <c r="E4687" s="23"/>
      <c r="F4687" s="23"/>
      <c r="G4687" s="23"/>
      <c r="H4687" s="23"/>
      <c r="I4687" s="23"/>
      <c r="J4687" s="23"/>
      <c r="K4687" s="23"/>
      <c r="L4687" s="23"/>
      <c r="M4687" s="24"/>
    </row>
    <row r="4688" spans="1:13" x14ac:dyDescent="0.35">
      <c r="A4688" s="86"/>
      <c r="B4688" s="21"/>
      <c r="C4688" s="21"/>
      <c r="D4688" s="21"/>
      <c r="E4688" s="21"/>
      <c r="F4688" s="21"/>
      <c r="G4688" s="21"/>
      <c r="H4688" s="21"/>
      <c r="I4688" s="21"/>
      <c r="J4688" s="21"/>
      <c r="K4688" s="21"/>
      <c r="L4688" s="21"/>
      <c r="M4688" s="22"/>
    </row>
    <row r="4689" spans="1:13" x14ac:dyDescent="0.35">
      <c r="A4689" s="86"/>
      <c r="B4689" s="21"/>
      <c r="C4689" s="21"/>
      <c r="D4689" s="21"/>
      <c r="E4689" s="21"/>
      <c r="F4689" s="21"/>
      <c r="G4689" s="21"/>
      <c r="H4689" s="21"/>
      <c r="I4689" s="21"/>
      <c r="J4689" s="21"/>
      <c r="K4689" s="21"/>
      <c r="L4689" s="21"/>
      <c r="M4689" s="22"/>
    </row>
    <row r="4690" spans="1:13" x14ac:dyDescent="0.35">
      <c r="A4690" s="85"/>
      <c r="B4690" s="23"/>
      <c r="C4690" s="23"/>
      <c r="D4690" s="23"/>
      <c r="E4690" s="23"/>
      <c r="F4690" s="23"/>
      <c r="G4690" s="23"/>
      <c r="H4690" s="23"/>
      <c r="I4690" s="23"/>
      <c r="J4690" s="23"/>
      <c r="K4690" s="23"/>
      <c r="L4690" s="23"/>
      <c r="M4690" s="24"/>
    </row>
    <row r="4691" spans="1:13" x14ac:dyDescent="0.35">
      <c r="A4691" s="85"/>
      <c r="B4691" s="23"/>
      <c r="C4691" s="23"/>
      <c r="D4691" s="23"/>
      <c r="E4691" s="23"/>
      <c r="F4691" s="23"/>
      <c r="G4691" s="23"/>
      <c r="H4691" s="23"/>
      <c r="I4691" s="23"/>
      <c r="J4691" s="23"/>
      <c r="K4691" s="23"/>
      <c r="L4691" s="23"/>
      <c r="M4691" s="24"/>
    </row>
    <row r="4692" spans="1:13" x14ac:dyDescent="0.35">
      <c r="A4692" s="85"/>
      <c r="B4692" s="23"/>
      <c r="C4692" s="23"/>
      <c r="D4692" s="23"/>
      <c r="E4692" s="23"/>
      <c r="F4692" s="23"/>
      <c r="G4692" s="23"/>
      <c r="H4692" s="23"/>
      <c r="I4692" s="23"/>
      <c r="J4692" s="23"/>
      <c r="K4692" s="23"/>
      <c r="L4692" s="23"/>
      <c r="M4692" s="24"/>
    </row>
    <row r="4693" spans="1:13" x14ac:dyDescent="0.35">
      <c r="A4693" s="85"/>
      <c r="B4693" s="23"/>
      <c r="C4693" s="23"/>
      <c r="D4693" s="23"/>
      <c r="E4693" s="23"/>
      <c r="F4693" s="23"/>
      <c r="G4693" s="23"/>
      <c r="H4693" s="23"/>
      <c r="I4693" s="23"/>
      <c r="J4693" s="23"/>
      <c r="K4693" s="23"/>
      <c r="L4693" s="23"/>
      <c r="M4693" s="24"/>
    </row>
    <row r="4694" spans="1:13" x14ac:dyDescent="0.35">
      <c r="A4694" s="86"/>
      <c r="B4694" s="21"/>
      <c r="C4694" s="21"/>
      <c r="D4694" s="21"/>
      <c r="E4694" s="21"/>
      <c r="F4694" s="21"/>
      <c r="G4694" s="21"/>
      <c r="H4694" s="21"/>
      <c r="I4694" s="21"/>
      <c r="J4694" s="21"/>
      <c r="K4694" s="21"/>
      <c r="L4694" s="21"/>
      <c r="M4694" s="22"/>
    </row>
    <row r="4695" spans="1:13" x14ac:dyDescent="0.35">
      <c r="A4695" s="86"/>
      <c r="B4695" s="21"/>
      <c r="C4695" s="21"/>
      <c r="D4695" s="21"/>
      <c r="E4695" s="21"/>
      <c r="F4695" s="21"/>
      <c r="G4695" s="21"/>
      <c r="H4695" s="21"/>
      <c r="I4695" s="21"/>
      <c r="J4695" s="21"/>
      <c r="K4695" s="21"/>
      <c r="L4695" s="21"/>
      <c r="M4695" s="22"/>
    </row>
    <row r="4696" spans="1:13" x14ac:dyDescent="0.35">
      <c r="A4696" s="86"/>
      <c r="B4696" s="21"/>
      <c r="C4696" s="21"/>
      <c r="D4696" s="21"/>
      <c r="E4696" s="21"/>
      <c r="F4696" s="21"/>
      <c r="G4696" s="21"/>
      <c r="H4696" s="21"/>
      <c r="I4696" s="21"/>
      <c r="J4696" s="21"/>
      <c r="K4696" s="21"/>
      <c r="L4696" s="21"/>
      <c r="M4696" s="22"/>
    </row>
    <row r="4697" spans="1:13" x14ac:dyDescent="0.35">
      <c r="A4697" s="85"/>
      <c r="B4697" s="23"/>
      <c r="C4697" s="23"/>
      <c r="D4697" s="23"/>
      <c r="E4697" s="23"/>
      <c r="F4697" s="23"/>
      <c r="G4697" s="23"/>
      <c r="H4697" s="23"/>
      <c r="I4697" s="23"/>
      <c r="J4697" s="23"/>
      <c r="K4697" s="23"/>
      <c r="L4697" s="23"/>
      <c r="M4697" s="24"/>
    </row>
    <row r="4698" spans="1:13" x14ac:dyDescent="0.35">
      <c r="A4698" s="85"/>
      <c r="B4698" s="23"/>
      <c r="C4698" s="23"/>
      <c r="D4698" s="23"/>
      <c r="E4698" s="23"/>
      <c r="F4698" s="23"/>
      <c r="G4698" s="23"/>
      <c r="H4698" s="23"/>
      <c r="I4698" s="23"/>
      <c r="J4698" s="23"/>
      <c r="K4698" s="23"/>
      <c r="L4698" s="23"/>
      <c r="M4698" s="24"/>
    </row>
    <row r="4699" spans="1:13" x14ac:dyDescent="0.35">
      <c r="A4699" s="86"/>
      <c r="B4699" s="21"/>
      <c r="C4699" s="21"/>
      <c r="D4699" s="21"/>
      <c r="E4699" s="21"/>
      <c r="F4699" s="21"/>
      <c r="G4699" s="21"/>
      <c r="H4699" s="21"/>
      <c r="I4699" s="21"/>
      <c r="J4699" s="21"/>
      <c r="K4699" s="21"/>
      <c r="L4699" s="21"/>
      <c r="M4699" s="22"/>
    </row>
    <row r="4700" spans="1:13" x14ac:dyDescent="0.35">
      <c r="A4700" s="86"/>
      <c r="B4700" s="21"/>
      <c r="C4700" s="21"/>
      <c r="D4700" s="21"/>
      <c r="E4700" s="21"/>
      <c r="F4700" s="21"/>
      <c r="G4700" s="21"/>
      <c r="H4700" s="21"/>
      <c r="I4700" s="21"/>
      <c r="J4700" s="21"/>
      <c r="K4700" s="21"/>
      <c r="L4700" s="21"/>
      <c r="M4700" s="22"/>
    </row>
    <row r="4701" spans="1:13" x14ac:dyDescent="0.35">
      <c r="A4701" s="85"/>
      <c r="B4701" s="23"/>
      <c r="C4701" s="23"/>
      <c r="D4701" s="23"/>
      <c r="E4701" s="23"/>
      <c r="F4701" s="23"/>
      <c r="G4701" s="23"/>
      <c r="H4701" s="23"/>
      <c r="I4701" s="23"/>
      <c r="J4701" s="23"/>
      <c r="K4701" s="23"/>
      <c r="L4701" s="23"/>
      <c r="M4701" s="24"/>
    </row>
    <row r="4702" spans="1:13" x14ac:dyDescent="0.35">
      <c r="A4702" s="86"/>
      <c r="B4702" s="21"/>
      <c r="C4702" s="21"/>
      <c r="D4702" s="21"/>
      <c r="E4702" s="21"/>
      <c r="F4702" s="21"/>
      <c r="G4702" s="21"/>
      <c r="H4702" s="21"/>
      <c r="I4702" s="21"/>
      <c r="J4702" s="21"/>
      <c r="K4702" s="21"/>
      <c r="L4702" s="21"/>
      <c r="M4702" s="22"/>
    </row>
    <row r="4703" spans="1:13" x14ac:dyDescent="0.35">
      <c r="A4703" s="85"/>
      <c r="B4703" s="23"/>
      <c r="C4703" s="23"/>
      <c r="D4703" s="23"/>
      <c r="E4703" s="23"/>
      <c r="F4703" s="23"/>
      <c r="G4703" s="23"/>
      <c r="H4703" s="23"/>
      <c r="I4703" s="23"/>
      <c r="J4703" s="23"/>
      <c r="K4703" s="23"/>
      <c r="L4703" s="23"/>
      <c r="M4703" s="24"/>
    </row>
    <row r="4704" spans="1:13" x14ac:dyDescent="0.35">
      <c r="A4704" s="85"/>
      <c r="B4704" s="23"/>
      <c r="C4704" s="23"/>
      <c r="D4704" s="23"/>
      <c r="E4704" s="23"/>
      <c r="F4704" s="23"/>
      <c r="G4704" s="23"/>
      <c r="H4704" s="23"/>
      <c r="I4704" s="23"/>
      <c r="J4704" s="23"/>
      <c r="K4704" s="23"/>
      <c r="L4704" s="23"/>
      <c r="M4704" s="24"/>
    </row>
    <row r="4705" spans="1:13" x14ac:dyDescent="0.35">
      <c r="A4705" s="82"/>
      <c r="B4705" s="19"/>
      <c r="C4705" s="19"/>
      <c r="D4705" s="19"/>
      <c r="E4705" s="19"/>
      <c r="F4705" s="19"/>
      <c r="G4705" s="19"/>
      <c r="H4705" s="19"/>
      <c r="I4705" s="19"/>
      <c r="J4705" s="19"/>
      <c r="K4705" s="19"/>
      <c r="L4705" s="19"/>
      <c r="M4705" s="20"/>
    </row>
    <row r="4706" spans="1:13" x14ac:dyDescent="0.35">
      <c r="A4706" s="82"/>
      <c r="B4706" s="19"/>
      <c r="C4706" s="19"/>
      <c r="D4706" s="19"/>
      <c r="E4706" s="19"/>
      <c r="F4706" s="19"/>
      <c r="G4706" s="19"/>
      <c r="H4706" s="19"/>
      <c r="I4706" s="19"/>
      <c r="J4706" s="19"/>
      <c r="K4706" s="19"/>
      <c r="L4706" s="19"/>
      <c r="M4706" s="20"/>
    </row>
    <row r="4707" spans="1:13" x14ac:dyDescent="0.35">
      <c r="A4707" s="82"/>
      <c r="B4707" s="19"/>
      <c r="C4707" s="19"/>
      <c r="D4707" s="19"/>
      <c r="E4707" s="19"/>
      <c r="F4707" s="19"/>
      <c r="G4707" s="19"/>
      <c r="H4707" s="19"/>
      <c r="I4707" s="19"/>
      <c r="J4707" s="19"/>
      <c r="K4707" s="19"/>
      <c r="L4707" s="19"/>
      <c r="M4707" s="20"/>
    </row>
    <row r="4708" spans="1:13" x14ac:dyDescent="0.35">
      <c r="A4708" s="82"/>
      <c r="B4708" s="19"/>
      <c r="C4708" s="19"/>
      <c r="D4708" s="19"/>
      <c r="E4708" s="19"/>
      <c r="F4708" s="19"/>
      <c r="G4708" s="19"/>
      <c r="H4708" s="19"/>
      <c r="I4708" s="19"/>
      <c r="J4708" s="19"/>
      <c r="K4708" s="19"/>
      <c r="L4708" s="19"/>
      <c r="M4708" s="20"/>
    </row>
    <row r="4709" spans="1:13" x14ac:dyDescent="0.35">
      <c r="A4709" s="82"/>
      <c r="B4709" s="19"/>
      <c r="C4709" s="19"/>
      <c r="D4709" s="19"/>
      <c r="E4709" s="19"/>
      <c r="F4709" s="19"/>
      <c r="G4709" s="19"/>
      <c r="H4709" s="19"/>
      <c r="I4709" s="19"/>
      <c r="J4709" s="19"/>
      <c r="K4709" s="19"/>
      <c r="L4709" s="19"/>
      <c r="M4709" s="20"/>
    </row>
    <row r="4710" spans="1:13" x14ac:dyDescent="0.35">
      <c r="A4710" s="82"/>
      <c r="B4710" s="19"/>
      <c r="C4710" s="19"/>
      <c r="D4710" s="19"/>
      <c r="E4710" s="19"/>
      <c r="F4710" s="19"/>
      <c r="G4710" s="19"/>
      <c r="H4710" s="19"/>
      <c r="I4710" s="19"/>
      <c r="J4710" s="19"/>
      <c r="K4710" s="19"/>
      <c r="L4710" s="19"/>
      <c r="M4710" s="20"/>
    </row>
    <row r="4711" spans="1:13" x14ac:dyDescent="0.35">
      <c r="A4711" s="82"/>
      <c r="B4711" s="19"/>
      <c r="C4711" s="19"/>
      <c r="D4711" s="19"/>
      <c r="E4711" s="19"/>
      <c r="F4711" s="19"/>
      <c r="G4711" s="19"/>
      <c r="H4711" s="19"/>
      <c r="I4711" s="19"/>
      <c r="J4711" s="19"/>
      <c r="K4711" s="19"/>
      <c r="L4711" s="19"/>
      <c r="M4711" s="20"/>
    </row>
    <row r="4712" spans="1:13" x14ac:dyDescent="0.35">
      <c r="A4712" s="82"/>
      <c r="B4712" s="19"/>
      <c r="C4712" s="19"/>
      <c r="D4712" s="19"/>
      <c r="E4712" s="19"/>
      <c r="F4712" s="19"/>
      <c r="G4712" s="19"/>
      <c r="H4712" s="19"/>
      <c r="I4712" s="19"/>
      <c r="J4712" s="19"/>
      <c r="K4712" s="19"/>
      <c r="L4712" s="19"/>
      <c r="M4712" s="20"/>
    </row>
    <row r="4713" spans="1:13" x14ac:dyDescent="0.35">
      <c r="A4713" s="82"/>
      <c r="B4713" s="19"/>
      <c r="C4713" s="19"/>
      <c r="D4713" s="19"/>
      <c r="E4713" s="19"/>
      <c r="F4713" s="19"/>
      <c r="G4713" s="19"/>
      <c r="H4713" s="19"/>
      <c r="I4713" s="19"/>
      <c r="J4713" s="19"/>
      <c r="K4713" s="19"/>
      <c r="L4713" s="19"/>
      <c r="M4713" s="20"/>
    </row>
    <row r="4714" spans="1:13" x14ac:dyDescent="0.35">
      <c r="A4714" s="82"/>
      <c r="B4714" s="19"/>
      <c r="C4714" s="19"/>
      <c r="D4714" s="19"/>
      <c r="E4714" s="19"/>
      <c r="F4714" s="19"/>
      <c r="G4714" s="19"/>
      <c r="H4714" s="19"/>
      <c r="I4714" s="19"/>
      <c r="J4714" s="19"/>
      <c r="K4714" s="19"/>
      <c r="L4714" s="19"/>
      <c r="M4714" s="20"/>
    </row>
    <row r="4715" spans="1:13" x14ac:dyDescent="0.35">
      <c r="A4715" s="82"/>
      <c r="B4715" s="19"/>
      <c r="C4715" s="19"/>
      <c r="D4715" s="19"/>
      <c r="E4715" s="19"/>
      <c r="F4715" s="19"/>
      <c r="G4715" s="19"/>
      <c r="H4715" s="19"/>
      <c r="I4715" s="19"/>
      <c r="J4715" s="19"/>
      <c r="K4715" s="19"/>
      <c r="L4715" s="19"/>
      <c r="M4715" s="20"/>
    </row>
    <row r="4716" spans="1:13" x14ac:dyDescent="0.35">
      <c r="A4716" s="82"/>
      <c r="B4716" s="19"/>
      <c r="C4716" s="19"/>
      <c r="D4716" s="19"/>
      <c r="E4716" s="19"/>
      <c r="F4716" s="19"/>
      <c r="G4716" s="19"/>
      <c r="H4716" s="19"/>
      <c r="I4716" s="19"/>
      <c r="J4716" s="19"/>
      <c r="K4716" s="19"/>
      <c r="L4716" s="19"/>
      <c r="M4716" s="20"/>
    </row>
    <row r="4717" spans="1:13" x14ac:dyDescent="0.35">
      <c r="A4717" s="82"/>
      <c r="B4717" s="19"/>
      <c r="C4717" s="19"/>
      <c r="D4717" s="19"/>
      <c r="E4717" s="19"/>
      <c r="F4717" s="19"/>
      <c r="G4717" s="19"/>
      <c r="H4717" s="19"/>
      <c r="I4717" s="19"/>
      <c r="J4717" s="19"/>
      <c r="K4717" s="19"/>
      <c r="L4717" s="19"/>
      <c r="M4717" s="20"/>
    </row>
    <row r="4718" spans="1:13" x14ac:dyDescent="0.35">
      <c r="A4718" s="82"/>
      <c r="B4718" s="19"/>
      <c r="C4718" s="19"/>
      <c r="D4718" s="19"/>
      <c r="E4718" s="19"/>
      <c r="F4718" s="19"/>
      <c r="G4718" s="19"/>
      <c r="H4718" s="19"/>
      <c r="I4718" s="19"/>
      <c r="J4718" s="19"/>
      <c r="K4718" s="19"/>
      <c r="L4718" s="19"/>
      <c r="M4718" s="20"/>
    </row>
    <row r="4719" spans="1:13" x14ac:dyDescent="0.35">
      <c r="A4719" s="82"/>
      <c r="B4719" s="19"/>
      <c r="C4719" s="19"/>
      <c r="D4719" s="19"/>
      <c r="E4719" s="19"/>
      <c r="F4719" s="19"/>
      <c r="G4719" s="19"/>
      <c r="H4719" s="19"/>
      <c r="I4719" s="19"/>
      <c r="J4719" s="19"/>
      <c r="K4719" s="19"/>
      <c r="L4719" s="19"/>
      <c r="M4719" s="20"/>
    </row>
    <row r="4720" spans="1:13" x14ac:dyDescent="0.35">
      <c r="A4720" s="82"/>
      <c r="B4720" s="19"/>
      <c r="C4720" s="19"/>
      <c r="D4720" s="19"/>
      <c r="E4720" s="19"/>
      <c r="F4720" s="19"/>
      <c r="G4720" s="19"/>
      <c r="H4720" s="19"/>
      <c r="I4720" s="19"/>
      <c r="J4720" s="19"/>
      <c r="K4720" s="19"/>
      <c r="L4720" s="19"/>
      <c r="M4720" s="20"/>
    </row>
    <row r="4721" spans="1:13" x14ac:dyDescent="0.35">
      <c r="A4721" s="82"/>
      <c r="B4721" s="19"/>
      <c r="C4721" s="19"/>
      <c r="D4721" s="19"/>
      <c r="E4721" s="19"/>
      <c r="F4721" s="19"/>
      <c r="G4721" s="19"/>
      <c r="H4721" s="19"/>
      <c r="I4721" s="19"/>
      <c r="J4721" s="19"/>
      <c r="K4721" s="19"/>
      <c r="L4721" s="19"/>
      <c r="M4721" s="20"/>
    </row>
    <row r="4722" spans="1:13" x14ac:dyDescent="0.35">
      <c r="A4722" s="82"/>
      <c r="B4722" s="19"/>
      <c r="C4722" s="19"/>
      <c r="D4722" s="19"/>
      <c r="E4722" s="19"/>
      <c r="F4722" s="19"/>
      <c r="G4722" s="19"/>
      <c r="H4722" s="19"/>
      <c r="I4722" s="19"/>
      <c r="J4722" s="19"/>
      <c r="K4722" s="19"/>
      <c r="L4722" s="19"/>
      <c r="M4722" s="20"/>
    </row>
    <row r="4723" spans="1:13" x14ac:dyDescent="0.35">
      <c r="A4723" s="86"/>
      <c r="B4723" s="21"/>
      <c r="C4723" s="21"/>
      <c r="D4723" s="21"/>
      <c r="E4723" s="21"/>
      <c r="F4723" s="21"/>
      <c r="G4723" s="21"/>
      <c r="H4723" s="21"/>
      <c r="I4723" s="21"/>
      <c r="J4723" s="21"/>
      <c r="K4723" s="21"/>
      <c r="L4723" s="21"/>
      <c r="M4723" s="22"/>
    </row>
    <row r="4724" spans="1:13" x14ac:dyDescent="0.35">
      <c r="A4724" s="86"/>
      <c r="B4724" s="21"/>
      <c r="C4724" s="21"/>
      <c r="D4724" s="21"/>
      <c r="E4724" s="21"/>
      <c r="F4724" s="21"/>
      <c r="G4724" s="21"/>
      <c r="H4724" s="21"/>
      <c r="I4724" s="21"/>
      <c r="J4724" s="21"/>
      <c r="K4724" s="21"/>
      <c r="L4724" s="21"/>
      <c r="M4724" s="22"/>
    </row>
    <row r="4725" spans="1:13" x14ac:dyDescent="0.35">
      <c r="A4725" s="86"/>
      <c r="B4725" s="21"/>
      <c r="C4725" s="21"/>
      <c r="D4725" s="21"/>
      <c r="E4725" s="21"/>
      <c r="F4725" s="21"/>
      <c r="G4725" s="21"/>
      <c r="H4725" s="21"/>
      <c r="I4725" s="21"/>
      <c r="J4725" s="21"/>
      <c r="K4725" s="21"/>
      <c r="L4725" s="21"/>
      <c r="M4725" s="22"/>
    </row>
    <row r="4726" spans="1:13" x14ac:dyDescent="0.35">
      <c r="A4726" s="86"/>
      <c r="B4726" s="21"/>
      <c r="C4726" s="21"/>
      <c r="D4726" s="21"/>
      <c r="E4726" s="21"/>
      <c r="F4726" s="21"/>
      <c r="G4726" s="21"/>
      <c r="H4726" s="21"/>
      <c r="I4726" s="21"/>
      <c r="J4726" s="21"/>
      <c r="K4726" s="21"/>
      <c r="L4726" s="21"/>
      <c r="M4726" s="22"/>
    </row>
    <row r="4727" spans="1:13" x14ac:dyDescent="0.35">
      <c r="A4727" s="86"/>
      <c r="B4727" s="21"/>
      <c r="C4727" s="21"/>
      <c r="D4727" s="21"/>
      <c r="E4727" s="21"/>
      <c r="F4727" s="21"/>
      <c r="G4727" s="21"/>
      <c r="H4727" s="21"/>
      <c r="I4727" s="21"/>
      <c r="J4727" s="21"/>
      <c r="K4727" s="21"/>
      <c r="L4727" s="21"/>
      <c r="M4727" s="22"/>
    </row>
    <row r="4728" spans="1:13" x14ac:dyDescent="0.35">
      <c r="A4728" s="85"/>
      <c r="B4728" s="23"/>
      <c r="C4728" s="23"/>
      <c r="D4728" s="23"/>
      <c r="E4728" s="23"/>
      <c r="F4728" s="23"/>
      <c r="G4728" s="23"/>
      <c r="H4728" s="23"/>
      <c r="I4728" s="23"/>
      <c r="J4728" s="23"/>
      <c r="K4728" s="23"/>
      <c r="L4728" s="23"/>
      <c r="M4728" s="24"/>
    </row>
    <row r="4729" spans="1:13" x14ac:dyDescent="0.35">
      <c r="A4729" s="86"/>
      <c r="B4729" s="21"/>
      <c r="C4729" s="21"/>
      <c r="D4729" s="21"/>
      <c r="E4729" s="21"/>
      <c r="F4729" s="21"/>
      <c r="G4729" s="21"/>
      <c r="H4729" s="21"/>
      <c r="I4729" s="21"/>
      <c r="J4729" s="21"/>
      <c r="K4729" s="21"/>
      <c r="L4729" s="21"/>
      <c r="M4729" s="22"/>
    </row>
    <row r="4730" spans="1:13" x14ac:dyDescent="0.35">
      <c r="A4730" s="86"/>
      <c r="B4730" s="21"/>
      <c r="C4730" s="21"/>
      <c r="D4730" s="21"/>
      <c r="E4730" s="21"/>
      <c r="F4730" s="21"/>
      <c r="G4730" s="21"/>
      <c r="H4730" s="21"/>
      <c r="I4730" s="21"/>
      <c r="J4730" s="21"/>
      <c r="K4730" s="21"/>
      <c r="L4730" s="21"/>
      <c r="M4730" s="22"/>
    </row>
    <row r="4731" spans="1:13" x14ac:dyDescent="0.35">
      <c r="A4731" s="85"/>
      <c r="B4731" s="23"/>
      <c r="C4731" s="23"/>
      <c r="D4731" s="23"/>
      <c r="E4731" s="23"/>
      <c r="F4731" s="23"/>
      <c r="G4731" s="23"/>
      <c r="H4731" s="23"/>
      <c r="I4731" s="23"/>
      <c r="J4731" s="23"/>
      <c r="K4731" s="23"/>
      <c r="L4731" s="23"/>
      <c r="M4731" s="24"/>
    </row>
    <row r="4732" spans="1:13" x14ac:dyDescent="0.35">
      <c r="A4732" s="86"/>
      <c r="B4732" s="21"/>
      <c r="C4732" s="21"/>
      <c r="D4732" s="21"/>
      <c r="E4732" s="21"/>
      <c r="F4732" s="21"/>
      <c r="G4732" s="21"/>
      <c r="H4732" s="21"/>
      <c r="I4732" s="21"/>
      <c r="J4732" s="21"/>
      <c r="K4732" s="21"/>
      <c r="L4732" s="21"/>
      <c r="M4732" s="22"/>
    </row>
    <row r="4733" spans="1:13" x14ac:dyDescent="0.35">
      <c r="A4733" s="85"/>
      <c r="B4733" s="23"/>
      <c r="C4733" s="23"/>
      <c r="D4733" s="23"/>
      <c r="E4733" s="23"/>
      <c r="F4733" s="23"/>
      <c r="G4733" s="23"/>
      <c r="H4733" s="23"/>
      <c r="I4733" s="23"/>
      <c r="J4733" s="23"/>
      <c r="K4733" s="23"/>
      <c r="L4733" s="23"/>
      <c r="M4733" s="24"/>
    </row>
    <row r="4734" spans="1:13" x14ac:dyDescent="0.35">
      <c r="A4734" s="85"/>
      <c r="B4734" s="23"/>
      <c r="C4734" s="23"/>
      <c r="D4734" s="23"/>
      <c r="E4734" s="23"/>
      <c r="F4734" s="23"/>
      <c r="G4734" s="23"/>
      <c r="H4734" s="23"/>
      <c r="I4734" s="23"/>
      <c r="J4734" s="23"/>
      <c r="K4734" s="23"/>
      <c r="L4734" s="23"/>
      <c r="M4734" s="24"/>
    </row>
    <row r="4735" spans="1:13" x14ac:dyDescent="0.35">
      <c r="A4735" s="85"/>
      <c r="B4735" s="23"/>
      <c r="C4735" s="23"/>
      <c r="D4735" s="23"/>
      <c r="E4735" s="23"/>
      <c r="F4735" s="23"/>
      <c r="G4735" s="23"/>
      <c r="H4735" s="23"/>
      <c r="I4735" s="23"/>
      <c r="J4735" s="23"/>
      <c r="K4735" s="23"/>
      <c r="L4735" s="23"/>
      <c r="M4735" s="24"/>
    </row>
    <row r="4736" spans="1:13" x14ac:dyDescent="0.35">
      <c r="A4736" s="85"/>
      <c r="B4736" s="23"/>
      <c r="C4736" s="23"/>
      <c r="D4736" s="23"/>
      <c r="E4736" s="23"/>
      <c r="F4736" s="23"/>
      <c r="G4736" s="23"/>
      <c r="H4736" s="23"/>
      <c r="I4736" s="23"/>
      <c r="J4736" s="23"/>
      <c r="K4736" s="23"/>
      <c r="L4736" s="23"/>
      <c r="M4736" s="24"/>
    </row>
    <row r="4737" spans="1:13" x14ac:dyDescent="0.35">
      <c r="A4737" s="86"/>
      <c r="B4737" s="21"/>
      <c r="C4737" s="21"/>
      <c r="D4737" s="21"/>
      <c r="E4737" s="21"/>
      <c r="F4737" s="21"/>
      <c r="G4737" s="21"/>
      <c r="H4737" s="21"/>
      <c r="I4737" s="21"/>
      <c r="J4737" s="21"/>
      <c r="K4737" s="21"/>
      <c r="L4737" s="21"/>
      <c r="M4737" s="22"/>
    </row>
    <row r="4738" spans="1:13" x14ac:dyDescent="0.35">
      <c r="A4738" s="85"/>
      <c r="B4738" s="23"/>
      <c r="C4738" s="23"/>
      <c r="D4738" s="23"/>
      <c r="E4738" s="23"/>
      <c r="F4738" s="23"/>
      <c r="G4738" s="23"/>
      <c r="H4738" s="23"/>
      <c r="I4738" s="23"/>
      <c r="J4738" s="23"/>
      <c r="K4738" s="23"/>
      <c r="L4738" s="23"/>
      <c r="M4738" s="24"/>
    </row>
    <row r="4739" spans="1:13" x14ac:dyDescent="0.35">
      <c r="A4739" s="86"/>
      <c r="B4739" s="21"/>
      <c r="C4739" s="21"/>
      <c r="D4739" s="21"/>
      <c r="E4739" s="21"/>
      <c r="F4739" s="21"/>
      <c r="G4739" s="21"/>
      <c r="H4739" s="21"/>
      <c r="I4739" s="21"/>
      <c r="J4739" s="21"/>
      <c r="K4739" s="21"/>
      <c r="L4739" s="21"/>
      <c r="M4739" s="22"/>
    </row>
    <row r="4740" spans="1:13" x14ac:dyDescent="0.35">
      <c r="A4740" s="85"/>
      <c r="B4740" s="23"/>
      <c r="C4740" s="23"/>
      <c r="D4740" s="23"/>
      <c r="E4740" s="23"/>
      <c r="F4740" s="23"/>
      <c r="G4740" s="23"/>
      <c r="H4740" s="23"/>
      <c r="I4740" s="23"/>
      <c r="J4740" s="23"/>
      <c r="K4740" s="23"/>
      <c r="L4740" s="23"/>
      <c r="M4740" s="24"/>
    </row>
    <row r="4741" spans="1:13" x14ac:dyDescent="0.35">
      <c r="A4741" s="86"/>
      <c r="B4741" s="21"/>
      <c r="C4741" s="21"/>
      <c r="D4741" s="21"/>
      <c r="E4741" s="21"/>
      <c r="F4741" s="21"/>
      <c r="G4741" s="21"/>
      <c r="H4741" s="21"/>
      <c r="I4741" s="21"/>
      <c r="J4741" s="21"/>
      <c r="K4741" s="21"/>
      <c r="L4741" s="21"/>
      <c r="M4741" s="22"/>
    </row>
    <row r="4742" spans="1:13" x14ac:dyDescent="0.35">
      <c r="A4742" s="85"/>
      <c r="B4742" s="23"/>
      <c r="C4742" s="23"/>
      <c r="D4742" s="23"/>
      <c r="E4742" s="23"/>
      <c r="F4742" s="23"/>
      <c r="G4742" s="23"/>
      <c r="H4742" s="23"/>
      <c r="I4742" s="23"/>
      <c r="J4742" s="23"/>
      <c r="K4742" s="23"/>
      <c r="L4742" s="23"/>
      <c r="M4742" s="24"/>
    </row>
    <row r="4743" spans="1:13" x14ac:dyDescent="0.35">
      <c r="A4743" s="85"/>
      <c r="B4743" s="23"/>
      <c r="C4743" s="23"/>
      <c r="D4743" s="23"/>
      <c r="E4743" s="23"/>
      <c r="F4743" s="23"/>
      <c r="G4743" s="23"/>
      <c r="H4743" s="23"/>
      <c r="I4743" s="23"/>
      <c r="J4743" s="23"/>
      <c r="K4743" s="23"/>
      <c r="L4743" s="23"/>
      <c r="M4743" s="24"/>
    </row>
    <row r="4744" spans="1:13" x14ac:dyDescent="0.35">
      <c r="A4744" s="85"/>
      <c r="B4744" s="23"/>
      <c r="C4744" s="23"/>
      <c r="D4744" s="23"/>
      <c r="E4744" s="23"/>
      <c r="F4744" s="23"/>
      <c r="G4744" s="23"/>
      <c r="H4744" s="23"/>
      <c r="I4744" s="23"/>
      <c r="J4744" s="23"/>
      <c r="K4744" s="23"/>
      <c r="L4744" s="23"/>
      <c r="M4744" s="24"/>
    </row>
    <row r="4745" spans="1:13" x14ac:dyDescent="0.35">
      <c r="A4745" s="85"/>
      <c r="B4745" s="23"/>
      <c r="C4745" s="23"/>
      <c r="D4745" s="23"/>
      <c r="E4745" s="23"/>
      <c r="F4745" s="23"/>
      <c r="G4745" s="23"/>
      <c r="H4745" s="23"/>
      <c r="I4745" s="23"/>
      <c r="J4745" s="23"/>
      <c r="K4745" s="23"/>
      <c r="L4745" s="23"/>
      <c r="M4745" s="24"/>
    </row>
    <row r="4746" spans="1:13" x14ac:dyDescent="0.35">
      <c r="A4746" s="86"/>
      <c r="B4746" s="21"/>
      <c r="C4746" s="21"/>
      <c r="D4746" s="21"/>
      <c r="E4746" s="21"/>
      <c r="F4746" s="21"/>
      <c r="G4746" s="21"/>
      <c r="H4746" s="21"/>
      <c r="I4746" s="21"/>
      <c r="J4746" s="21"/>
      <c r="K4746" s="21"/>
      <c r="L4746" s="21"/>
      <c r="M4746" s="22"/>
    </row>
    <row r="4747" spans="1:13" x14ac:dyDescent="0.35">
      <c r="A4747" s="86"/>
      <c r="B4747" s="21"/>
      <c r="C4747" s="21"/>
      <c r="D4747" s="21"/>
      <c r="E4747" s="21"/>
      <c r="F4747" s="21"/>
      <c r="G4747" s="21"/>
      <c r="H4747" s="21"/>
      <c r="I4747" s="21"/>
      <c r="J4747" s="21"/>
      <c r="K4747" s="21"/>
      <c r="L4747" s="21"/>
      <c r="M4747" s="22"/>
    </row>
    <row r="4748" spans="1:13" x14ac:dyDescent="0.35">
      <c r="A4748" s="86"/>
      <c r="B4748" s="21"/>
      <c r="C4748" s="21"/>
      <c r="D4748" s="21"/>
      <c r="E4748" s="21"/>
      <c r="F4748" s="21"/>
      <c r="G4748" s="21"/>
      <c r="H4748" s="21"/>
      <c r="I4748" s="21"/>
      <c r="J4748" s="21"/>
      <c r="K4748" s="21"/>
      <c r="L4748" s="21"/>
      <c r="M4748" s="22"/>
    </row>
    <row r="4749" spans="1:13" x14ac:dyDescent="0.35">
      <c r="A4749" s="85"/>
      <c r="B4749" s="23"/>
      <c r="C4749" s="23"/>
      <c r="D4749" s="23"/>
      <c r="E4749" s="23"/>
      <c r="F4749" s="23"/>
      <c r="G4749" s="23"/>
      <c r="H4749" s="23"/>
      <c r="I4749" s="23"/>
      <c r="J4749" s="23"/>
      <c r="K4749" s="23"/>
      <c r="L4749" s="23"/>
      <c r="M4749" s="24"/>
    </row>
    <row r="4750" spans="1:13" x14ac:dyDescent="0.35">
      <c r="A4750" s="85"/>
      <c r="B4750" s="23"/>
      <c r="C4750" s="23"/>
      <c r="D4750" s="23"/>
      <c r="E4750" s="23"/>
      <c r="F4750" s="23"/>
      <c r="G4750" s="23"/>
      <c r="H4750" s="23"/>
      <c r="I4750" s="23"/>
      <c r="J4750" s="23"/>
      <c r="K4750" s="23"/>
      <c r="L4750" s="23"/>
      <c r="M4750" s="24"/>
    </row>
    <row r="4751" spans="1:13" x14ac:dyDescent="0.35">
      <c r="A4751" s="86"/>
      <c r="B4751" s="21"/>
      <c r="C4751" s="21"/>
      <c r="D4751" s="21"/>
      <c r="E4751" s="21"/>
      <c r="F4751" s="21"/>
      <c r="G4751" s="21"/>
      <c r="H4751" s="21"/>
      <c r="I4751" s="21"/>
      <c r="J4751" s="21"/>
      <c r="K4751" s="21"/>
      <c r="L4751" s="21"/>
      <c r="M4751" s="22"/>
    </row>
    <row r="4752" spans="1:13" x14ac:dyDescent="0.35">
      <c r="A4752" s="86"/>
      <c r="B4752" s="21"/>
      <c r="C4752" s="21"/>
      <c r="D4752" s="21"/>
      <c r="E4752" s="21"/>
      <c r="F4752" s="21"/>
      <c r="G4752" s="21"/>
      <c r="H4752" s="21"/>
      <c r="I4752" s="21"/>
      <c r="J4752" s="21"/>
      <c r="K4752" s="21"/>
      <c r="L4752" s="21"/>
      <c r="M4752" s="22"/>
    </row>
    <row r="4753" spans="1:13" x14ac:dyDescent="0.35">
      <c r="A4753" s="86"/>
      <c r="B4753" s="21"/>
      <c r="C4753" s="21"/>
      <c r="D4753" s="21"/>
      <c r="E4753" s="21"/>
      <c r="F4753" s="21"/>
      <c r="G4753" s="21"/>
      <c r="H4753" s="21"/>
      <c r="I4753" s="21"/>
      <c r="J4753" s="21"/>
      <c r="K4753" s="21"/>
      <c r="L4753" s="21"/>
      <c r="M4753" s="22"/>
    </row>
    <row r="4754" spans="1:13" x14ac:dyDescent="0.35">
      <c r="A4754" s="85"/>
      <c r="B4754" s="23"/>
      <c r="C4754" s="23"/>
      <c r="D4754" s="23"/>
      <c r="E4754" s="23"/>
      <c r="F4754" s="23"/>
      <c r="G4754" s="23"/>
      <c r="H4754" s="23"/>
      <c r="I4754" s="23"/>
      <c r="J4754" s="23"/>
      <c r="K4754" s="23"/>
      <c r="L4754" s="23"/>
      <c r="M4754" s="24"/>
    </row>
    <row r="4755" spans="1:13" x14ac:dyDescent="0.35">
      <c r="A4755" s="86"/>
      <c r="B4755" s="21"/>
      <c r="C4755" s="21"/>
      <c r="D4755" s="21"/>
      <c r="E4755" s="21"/>
      <c r="F4755" s="21"/>
      <c r="G4755" s="21"/>
      <c r="H4755" s="21"/>
      <c r="I4755" s="21"/>
      <c r="J4755" s="21"/>
      <c r="K4755" s="21"/>
      <c r="L4755" s="21"/>
      <c r="M4755" s="22"/>
    </row>
    <row r="4756" spans="1:13" x14ac:dyDescent="0.35">
      <c r="A4756" s="85"/>
      <c r="B4756" s="23"/>
      <c r="C4756" s="23"/>
      <c r="D4756" s="23"/>
      <c r="E4756" s="23"/>
      <c r="F4756" s="23"/>
      <c r="G4756" s="23"/>
      <c r="H4756" s="23"/>
      <c r="I4756" s="23"/>
      <c r="J4756" s="23"/>
      <c r="K4756" s="23"/>
      <c r="L4756" s="23"/>
      <c r="M4756" s="24"/>
    </row>
    <row r="4757" spans="1:13" x14ac:dyDescent="0.35">
      <c r="A4757" s="86"/>
      <c r="B4757" s="21"/>
      <c r="C4757" s="21"/>
      <c r="D4757" s="21"/>
      <c r="E4757" s="21"/>
      <c r="F4757" s="21"/>
      <c r="G4757" s="21"/>
      <c r="H4757" s="21"/>
      <c r="I4757" s="21"/>
      <c r="J4757" s="21"/>
      <c r="K4757" s="21"/>
      <c r="L4757" s="21"/>
      <c r="M4757" s="22"/>
    </row>
    <row r="4758" spans="1:13" x14ac:dyDescent="0.35">
      <c r="A4758" s="86"/>
      <c r="B4758" s="21"/>
      <c r="C4758" s="21"/>
      <c r="D4758" s="21"/>
      <c r="E4758" s="21"/>
      <c r="F4758" s="21"/>
      <c r="G4758" s="21"/>
      <c r="H4758" s="21"/>
      <c r="I4758" s="21"/>
      <c r="J4758" s="21"/>
      <c r="K4758" s="21"/>
      <c r="L4758" s="21"/>
      <c r="M4758" s="22"/>
    </row>
    <row r="4759" spans="1:13" x14ac:dyDescent="0.35">
      <c r="A4759" s="86"/>
      <c r="B4759" s="21"/>
      <c r="C4759" s="21"/>
      <c r="D4759" s="21"/>
      <c r="E4759" s="21"/>
      <c r="F4759" s="21"/>
      <c r="G4759" s="21"/>
      <c r="H4759" s="21"/>
      <c r="I4759" s="21"/>
      <c r="J4759" s="21"/>
      <c r="K4759" s="21"/>
      <c r="L4759" s="21"/>
      <c r="M4759" s="22"/>
    </row>
    <row r="4760" spans="1:13" x14ac:dyDescent="0.35">
      <c r="A4760" s="86"/>
      <c r="B4760" s="21"/>
      <c r="C4760" s="21"/>
      <c r="D4760" s="21"/>
      <c r="E4760" s="21"/>
      <c r="F4760" s="21"/>
      <c r="G4760" s="21"/>
      <c r="H4760" s="21"/>
      <c r="I4760" s="21"/>
      <c r="J4760" s="21"/>
      <c r="K4760" s="21"/>
      <c r="L4760" s="21"/>
      <c r="M4760" s="22"/>
    </row>
    <row r="4761" spans="1:13" x14ac:dyDescent="0.35">
      <c r="A4761" s="82"/>
      <c r="B4761" s="19"/>
      <c r="C4761" s="19"/>
      <c r="D4761" s="19"/>
      <c r="E4761" s="19"/>
      <c r="F4761" s="19"/>
      <c r="G4761" s="19"/>
      <c r="H4761" s="19"/>
      <c r="I4761" s="19"/>
      <c r="J4761" s="19"/>
      <c r="K4761" s="19"/>
      <c r="L4761" s="19"/>
      <c r="M4761" s="20"/>
    </row>
    <row r="4762" spans="1:13" x14ac:dyDescent="0.35">
      <c r="A4762" s="82"/>
      <c r="B4762" s="19"/>
      <c r="C4762" s="19"/>
      <c r="D4762" s="19"/>
      <c r="E4762" s="19"/>
      <c r="F4762" s="19"/>
      <c r="G4762" s="19"/>
      <c r="H4762" s="19"/>
      <c r="I4762" s="19"/>
      <c r="J4762" s="19"/>
      <c r="K4762" s="19"/>
      <c r="L4762" s="19"/>
      <c r="M4762" s="20"/>
    </row>
    <row r="4763" spans="1:13" x14ac:dyDescent="0.35">
      <c r="A4763" s="82"/>
      <c r="B4763" s="19"/>
      <c r="C4763" s="19"/>
      <c r="D4763" s="19"/>
      <c r="E4763" s="19"/>
      <c r="F4763" s="19"/>
      <c r="G4763" s="19"/>
      <c r="H4763" s="19"/>
      <c r="I4763" s="19"/>
      <c r="J4763" s="19"/>
      <c r="K4763" s="19"/>
      <c r="L4763" s="19"/>
      <c r="M4763" s="20"/>
    </row>
    <row r="4764" spans="1:13" x14ac:dyDescent="0.35">
      <c r="A4764" s="82"/>
      <c r="B4764" s="19"/>
      <c r="C4764" s="19"/>
      <c r="D4764" s="19"/>
      <c r="E4764" s="19"/>
      <c r="F4764" s="19"/>
      <c r="G4764" s="19"/>
      <c r="H4764" s="19"/>
      <c r="I4764" s="19"/>
      <c r="J4764" s="19"/>
      <c r="K4764" s="19"/>
      <c r="L4764" s="19"/>
      <c r="M4764" s="20"/>
    </row>
    <row r="4765" spans="1:13" x14ac:dyDescent="0.35">
      <c r="A4765" s="82"/>
      <c r="B4765" s="19"/>
      <c r="C4765" s="19"/>
      <c r="D4765" s="19"/>
      <c r="E4765" s="19"/>
      <c r="F4765" s="19"/>
      <c r="G4765" s="19"/>
      <c r="H4765" s="19"/>
      <c r="I4765" s="19"/>
      <c r="J4765" s="19"/>
      <c r="K4765" s="19"/>
      <c r="L4765" s="19"/>
      <c r="M4765" s="20"/>
    </row>
    <row r="4766" spans="1:13" x14ac:dyDescent="0.35">
      <c r="A4766" s="82"/>
      <c r="B4766" s="19"/>
      <c r="C4766" s="19"/>
      <c r="D4766" s="19"/>
      <c r="E4766" s="19"/>
      <c r="F4766" s="19"/>
      <c r="G4766" s="19"/>
      <c r="H4766" s="19"/>
      <c r="I4766" s="19"/>
      <c r="J4766" s="19"/>
      <c r="K4766" s="19"/>
      <c r="L4766" s="19"/>
      <c r="M4766" s="20"/>
    </row>
    <row r="4767" spans="1:13" x14ac:dyDescent="0.35">
      <c r="A4767" s="82"/>
      <c r="B4767" s="19"/>
      <c r="C4767" s="19"/>
      <c r="D4767" s="19"/>
      <c r="E4767" s="19"/>
      <c r="F4767" s="19"/>
      <c r="G4767" s="19"/>
      <c r="H4767" s="19"/>
      <c r="I4767" s="19"/>
      <c r="J4767" s="19"/>
      <c r="K4767" s="19"/>
      <c r="L4767" s="19"/>
      <c r="M4767" s="20"/>
    </row>
    <row r="4768" spans="1:13" x14ac:dyDescent="0.35">
      <c r="A4768" s="82"/>
      <c r="B4768" s="19"/>
      <c r="C4768" s="19"/>
      <c r="D4768" s="19"/>
      <c r="E4768" s="19"/>
      <c r="F4768" s="19"/>
      <c r="G4768" s="19"/>
      <c r="H4768" s="19"/>
      <c r="I4768" s="19"/>
      <c r="J4768" s="19"/>
      <c r="K4768" s="19"/>
      <c r="L4768" s="19"/>
      <c r="M4768" s="20"/>
    </row>
    <row r="4769" spans="1:13" x14ac:dyDescent="0.35">
      <c r="A4769" s="82"/>
      <c r="B4769" s="19"/>
      <c r="C4769" s="19"/>
      <c r="D4769" s="19"/>
      <c r="E4769" s="19"/>
      <c r="F4769" s="19"/>
      <c r="G4769" s="19"/>
      <c r="H4769" s="19"/>
      <c r="I4769" s="19"/>
      <c r="J4769" s="19"/>
      <c r="K4769" s="19"/>
      <c r="L4769" s="19"/>
      <c r="M4769" s="20"/>
    </row>
    <row r="4770" spans="1:13" x14ac:dyDescent="0.35">
      <c r="A4770" s="82"/>
      <c r="B4770" s="19"/>
      <c r="C4770" s="19"/>
      <c r="D4770" s="19"/>
      <c r="E4770" s="19"/>
      <c r="F4770" s="19"/>
      <c r="G4770" s="19"/>
      <c r="H4770" s="19"/>
      <c r="I4770" s="19"/>
      <c r="J4770" s="19"/>
      <c r="K4770" s="19"/>
      <c r="L4770" s="19"/>
      <c r="M4770" s="20"/>
    </row>
    <row r="4771" spans="1:13" x14ac:dyDescent="0.35">
      <c r="A4771" s="82"/>
      <c r="B4771" s="19"/>
      <c r="C4771" s="19"/>
      <c r="D4771" s="19"/>
      <c r="E4771" s="19"/>
      <c r="F4771" s="19"/>
      <c r="G4771" s="19"/>
      <c r="H4771" s="19"/>
      <c r="I4771" s="19"/>
      <c r="J4771" s="19"/>
      <c r="K4771" s="19"/>
      <c r="L4771" s="19"/>
      <c r="M4771" s="20"/>
    </row>
    <row r="4772" spans="1:13" x14ac:dyDescent="0.35">
      <c r="A4772" s="82"/>
      <c r="B4772" s="19"/>
      <c r="C4772" s="19"/>
      <c r="D4772" s="19"/>
      <c r="E4772" s="19"/>
      <c r="F4772" s="19"/>
      <c r="G4772" s="19"/>
      <c r="H4772" s="19"/>
      <c r="I4772" s="19"/>
      <c r="J4772" s="19"/>
      <c r="K4772" s="19"/>
      <c r="L4772" s="19"/>
      <c r="M4772" s="20"/>
    </row>
    <row r="4773" spans="1:13" x14ac:dyDescent="0.35">
      <c r="A4773" s="82"/>
      <c r="B4773" s="19"/>
      <c r="C4773" s="19"/>
      <c r="D4773" s="19"/>
      <c r="E4773" s="19"/>
      <c r="F4773" s="19"/>
      <c r="G4773" s="19"/>
      <c r="H4773" s="19"/>
      <c r="I4773" s="19"/>
      <c r="J4773" s="19"/>
      <c r="K4773" s="19"/>
      <c r="L4773" s="19"/>
      <c r="M4773" s="20"/>
    </row>
    <row r="4774" spans="1:13" x14ac:dyDescent="0.35">
      <c r="A4774" s="82"/>
      <c r="B4774" s="19"/>
      <c r="C4774" s="19"/>
      <c r="D4774" s="19"/>
      <c r="E4774" s="19"/>
      <c r="F4774" s="19"/>
      <c r="G4774" s="19"/>
      <c r="H4774" s="19"/>
      <c r="I4774" s="19"/>
      <c r="J4774" s="19"/>
      <c r="K4774" s="19"/>
      <c r="L4774" s="19"/>
      <c r="M4774" s="20"/>
    </row>
    <row r="4775" spans="1:13" x14ac:dyDescent="0.35">
      <c r="A4775" s="82"/>
      <c r="B4775" s="19"/>
      <c r="C4775" s="19"/>
      <c r="D4775" s="19"/>
      <c r="E4775" s="19"/>
      <c r="F4775" s="19"/>
      <c r="G4775" s="19"/>
      <c r="H4775" s="19"/>
      <c r="I4775" s="19"/>
      <c r="J4775" s="19"/>
      <c r="K4775" s="19"/>
      <c r="L4775" s="19"/>
      <c r="M4775" s="20"/>
    </row>
    <row r="4776" spans="1:13" x14ac:dyDescent="0.35">
      <c r="A4776" s="82"/>
      <c r="B4776" s="19"/>
      <c r="C4776" s="19"/>
      <c r="D4776" s="19"/>
      <c r="E4776" s="19"/>
      <c r="F4776" s="19"/>
      <c r="G4776" s="19"/>
      <c r="H4776" s="19"/>
      <c r="I4776" s="19"/>
      <c r="J4776" s="19"/>
      <c r="K4776" s="19"/>
      <c r="L4776" s="19"/>
      <c r="M4776" s="20"/>
    </row>
    <row r="4777" spans="1:13" x14ac:dyDescent="0.35">
      <c r="A4777" s="81"/>
      <c r="B4777" s="17"/>
      <c r="C4777" s="17"/>
      <c r="D4777" s="17"/>
      <c r="E4777" s="17"/>
      <c r="F4777" s="17"/>
      <c r="G4777" s="17"/>
      <c r="H4777" s="17"/>
      <c r="I4777" s="17"/>
      <c r="J4777" s="17"/>
      <c r="K4777" s="17"/>
      <c r="L4777" s="17"/>
      <c r="M4777" s="18"/>
    </row>
    <row r="4778" spans="1:13" x14ac:dyDescent="0.35">
      <c r="A4778" s="82"/>
      <c r="B4778" s="19"/>
      <c r="C4778" s="19"/>
      <c r="D4778" s="19"/>
      <c r="E4778" s="19"/>
      <c r="F4778" s="19"/>
      <c r="G4778" s="19"/>
      <c r="H4778" s="19"/>
      <c r="I4778" s="19"/>
      <c r="J4778" s="19"/>
      <c r="K4778" s="19"/>
      <c r="L4778" s="19"/>
      <c r="M4778" s="20"/>
    </row>
    <row r="4779" spans="1:13" x14ac:dyDescent="0.35">
      <c r="A4779" s="81"/>
      <c r="B4779" s="17"/>
      <c r="C4779" s="17"/>
      <c r="D4779" s="17"/>
      <c r="E4779" s="17"/>
      <c r="F4779" s="17"/>
      <c r="G4779" s="17"/>
      <c r="H4779" s="17"/>
      <c r="I4779" s="17"/>
      <c r="J4779" s="17"/>
      <c r="K4779" s="17"/>
      <c r="L4779" s="17"/>
      <c r="M4779" s="18"/>
    </row>
    <row r="4780" spans="1:13" x14ac:dyDescent="0.35">
      <c r="A4780" s="82"/>
      <c r="B4780" s="19"/>
      <c r="C4780" s="19"/>
      <c r="D4780" s="19"/>
      <c r="E4780" s="19"/>
      <c r="F4780" s="19"/>
      <c r="G4780" s="19"/>
      <c r="H4780" s="19"/>
      <c r="I4780" s="19"/>
      <c r="J4780" s="19"/>
      <c r="K4780" s="19"/>
      <c r="L4780" s="19"/>
      <c r="M4780" s="20"/>
    </row>
    <row r="4781" spans="1:13" x14ac:dyDescent="0.35">
      <c r="A4781" s="81"/>
      <c r="B4781" s="17"/>
      <c r="C4781" s="17"/>
      <c r="D4781" s="17"/>
      <c r="E4781" s="17"/>
      <c r="F4781" s="17"/>
      <c r="G4781" s="17"/>
      <c r="H4781" s="17"/>
      <c r="I4781" s="17"/>
      <c r="J4781" s="17"/>
      <c r="K4781" s="17"/>
      <c r="L4781" s="17"/>
      <c r="M4781" s="18"/>
    </row>
    <row r="4782" spans="1:13" x14ac:dyDescent="0.35">
      <c r="A4782" s="81"/>
      <c r="B4782" s="17"/>
      <c r="C4782" s="17"/>
      <c r="D4782" s="17"/>
      <c r="E4782" s="17"/>
      <c r="F4782" s="17"/>
      <c r="G4782" s="17"/>
      <c r="H4782" s="17"/>
      <c r="I4782" s="17"/>
      <c r="J4782" s="17"/>
      <c r="K4782" s="17"/>
      <c r="L4782" s="17"/>
      <c r="M4782" s="18"/>
    </row>
    <row r="4783" spans="1:13" x14ac:dyDescent="0.35">
      <c r="A4783" s="82"/>
      <c r="B4783" s="19"/>
      <c r="C4783" s="19"/>
      <c r="D4783" s="19"/>
      <c r="E4783" s="19"/>
      <c r="F4783" s="19"/>
      <c r="G4783" s="19"/>
      <c r="H4783" s="19"/>
      <c r="I4783" s="19"/>
      <c r="J4783" s="19"/>
      <c r="K4783" s="19"/>
      <c r="L4783" s="19"/>
      <c r="M4783" s="20"/>
    </row>
    <row r="4784" spans="1:13" x14ac:dyDescent="0.35">
      <c r="A4784" s="82"/>
      <c r="B4784" s="19"/>
      <c r="C4784" s="19"/>
      <c r="D4784" s="19"/>
      <c r="E4784" s="19"/>
      <c r="F4784" s="19"/>
      <c r="G4784" s="19"/>
      <c r="H4784" s="19"/>
      <c r="I4784" s="19"/>
      <c r="J4784" s="19"/>
      <c r="K4784" s="19"/>
      <c r="L4784" s="19"/>
      <c r="M4784" s="20"/>
    </row>
    <row r="4785" spans="1:13" x14ac:dyDescent="0.35">
      <c r="A4785" s="82"/>
      <c r="B4785" s="19"/>
      <c r="C4785" s="19"/>
      <c r="D4785" s="19"/>
      <c r="E4785" s="19"/>
      <c r="F4785" s="19"/>
      <c r="G4785" s="19"/>
      <c r="H4785" s="19"/>
      <c r="I4785" s="19"/>
      <c r="J4785" s="19"/>
      <c r="K4785" s="19"/>
      <c r="L4785" s="19"/>
      <c r="M4785" s="20"/>
    </row>
    <row r="4786" spans="1:13" x14ac:dyDescent="0.35">
      <c r="A4786" s="81"/>
      <c r="B4786" s="17"/>
      <c r="C4786" s="17"/>
      <c r="D4786" s="17"/>
      <c r="E4786" s="17"/>
      <c r="F4786" s="17"/>
      <c r="G4786" s="17"/>
      <c r="H4786" s="17"/>
      <c r="I4786" s="17"/>
      <c r="J4786" s="17"/>
      <c r="K4786" s="17"/>
      <c r="L4786" s="17"/>
      <c r="M4786" s="18"/>
    </row>
    <row r="4787" spans="1:13" x14ac:dyDescent="0.35">
      <c r="A4787" s="82"/>
      <c r="B4787" s="19"/>
      <c r="C4787" s="19"/>
      <c r="D4787" s="19"/>
      <c r="E4787" s="19"/>
      <c r="F4787" s="19"/>
      <c r="G4787" s="19"/>
      <c r="H4787" s="19"/>
      <c r="I4787" s="19"/>
      <c r="J4787" s="19"/>
      <c r="K4787" s="19"/>
      <c r="L4787" s="19"/>
      <c r="M4787" s="20"/>
    </row>
    <row r="4788" spans="1:13" x14ac:dyDescent="0.35">
      <c r="A4788" s="82"/>
      <c r="B4788" s="19"/>
      <c r="C4788" s="19"/>
      <c r="D4788" s="19"/>
      <c r="E4788" s="19"/>
      <c r="F4788" s="19"/>
      <c r="G4788" s="19"/>
      <c r="H4788" s="19"/>
      <c r="I4788" s="19"/>
      <c r="J4788" s="19"/>
      <c r="K4788" s="19"/>
      <c r="L4788" s="19"/>
      <c r="M4788" s="20"/>
    </row>
    <row r="4789" spans="1:13" x14ac:dyDescent="0.35">
      <c r="A4789" s="81"/>
      <c r="B4789" s="17"/>
      <c r="C4789" s="17"/>
      <c r="D4789" s="17"/>
      <c r="E4789" s="17"/>
      <c r="F4789" s="17"/>
      <c r="G4789" s="17"/>
      <c r="H4789" s="17"/>
      <c r="I4789" s="17"/>
      <c r="J4789" s="17"/>
      <c r="K4789" s="17"/>
      <c r="L4789" s="17"/>
      <c r="M4789" s="18"/>
    </row>
    <row r="4790" spans="1:13" x14ac:dyDescent="0.35">
      <c r="A4790" s="81"/>
      <c r="B4790" s="17"/>
      <c r="C4790" s="17"/>
      <c r="D4790" s="17"/>
      <c r="E4790" s="17"/>
      <c r="F4790" s="17"/>
      <c r="G4790" s="17"/>
      <c r="H4790" s="17"/>
      <c r="I4790" s="17"/>
      <c r="J4790" s="17"/>
      <c r="K4790" s="17"/>
      <c r="L4790" s="17"/>
      <c r="M4790" s="18"/>
    </row>
    <row r="4791" spans="1:13" x14ac:dyDescent="0.35">
      <c r="A4791" s="81"/>
      <c r="B4791" s="17"/>
      <c r="C4791" s="17"/>
      <c r="D4791" s="17"/>
      <c r="E4791" s="17"/>
      <c r="F4791" s="17"/>
      <c r="G4791" s="17"/>
      <c r="H4791" s="17"/>
      <c r="I4791" s="17"/>
      <c r="J4791" s="17"/>
      <c r="K4791" s="17"/>
      <c r="L4791" s="17"/>
      <c r="M4791" s="18"/>
    </row>
    <row r="4792" spans="1:13" x14ac:dyDescent="0.35">
      <c r="A4792" s="82"/>
      <c r="B4792" s="19"/>
      <c r="C4792" s="19"/>
      <c r="D4792" s="19"/>
      <c r="E4792" s="19"/>
      <c r="F4792" s="19"/>
      <c r="G4792" s="19"/>
      <c r="H4792" s="19"/>
      <c r="I4792" s="19"/>
      <c r="J4792" s="19"/>
      <c r="K4792" s="19"/>
      <c r="L4792" s="19"/>
      <c r="M4792" s="20"/>
    </row>
    <row r="4793" spans="1:13" x14ac:dyDescent="0.35">
      <c r="A4793" s="82"/>
      <c r="B4793" s="19"/>
      <c r="C4793" s="19"/>
      <c r="D4793" s="19"/>
      <c r="E4793" s="19"/>
      <c r="F4793" s="19"/>
      <c r="G4793" s="19"/>
      <c r="H4793" s="19"/>
      <c r="I4793" s="19"/>
      <c r="J4793" s="19"/>
      <c r="K4793" s="19"/>
      <c r="L4793" s="19"/>
      <c r="M4793" s="20"/>
    </row>
    <row r="4794" spans="1:13" x14ac:dyDescent="0.35">
      <c r="A4794" s="81"/>
      <c r="B4794" s="17"/>
      <c r="C4794" s="17"/>
      <c r="D4794" s="17"/>
      <c r="E4794" s="17"/>
      <c r="F4794" s="17"/>
      <c r="G4794" s="17"/>
      <c r="H4794" s="17"/>
      <c r="I4794" s="17"/>
      <c r="J4794" s="17"/>
      <c r="K4794" s="17"/>
      <c r="L4794" s="17"/>
      <c r="M4794" s="18"/>
    </row>
    <row r="4795" spans="1:13" x14ac:dyDescent="0.35">
      <c r="A4795" s="81"/>
      <c r="B4795" s="17"/>
      <c r="C4795" s="17"/>
      <c r="D4795" s="17"/>
      <c r="E4795" s="17"/>
      <c r="F4795" s="17"/>
      <c r="G4795" s="17"/>
      <c r="H4795" s="17"/>
      <c r="I4795" s="17"/>
      <c r="J4795" s="17"/>
      <c r="K4795" s="17"/>
      <c r="L4795" s="17"/>
      <c r="M4795" s="18"/>
    </row>
    <row r="4796" spans="1:13" x14ac:dyDescent="0.35">
      <c r="A4796" s="82"/>
      <c r="B4796" s="19"/>
      <c r="C4796" s="19"/>
      <c r="D4796" s="19"/>
      <c r="E4796" s="19"/>
      <c r="F4796" s="19"/>
      <c r="G4796" s="19"/>
      <c r="H4796" s="19"/>
      <c r="I4796" s="19"/>
      <c r="J4796" s="19"/>
      <c r="K4796" s="19"/>
      <c r="L4796" s="19"/>
      <c r="M4796" s="20"/>
    </row>
    <row r="4797" spans="1:13" x14ac:dyDescent="0.35">
      <c r="A4797" s="81"/>
      <c r="B4797" s="17"/>
      <c r="C4797" s="17"/>
      <c r="D4797" s="17"/>
      <c r="E4797" s="17"/>
      <c r="F4797" s="17"/>
      <c r="G4797" s="17"/>
      <c r="H4797" s="17"/>
      <c r="I4797" s="17"/>
      <c r="J4797" s="17"/>
      <c r="K4797" s="17"/>
      <c r="L4797" s="17"/>
      <c r="M4797" s="18"/>
    </row>
    <row r="4798" spans="1:13" x14ac:dyDescent="0.35">
      <c r="A4798" s="81"/>
      <c r="B4798" s="17"/>
      <c r="C4798" s="17"/>
      <c r="D4798" s="17"/>
      <c r="E4798" s="17"/>
      <c r="F4798" s="17"/>
      <c r="G4798" s="17"/>
      <c r="H4798" s="17"/>
      <c r="I4798" s="17"/>
      <c r="J4798" s="17"/>
      <c r="K4798" s="17"/>
      <c r="L4798" s="17"/>
      <c r="M4798" s="18"/>
    </row>
    <row r="4799" spans="1:13" x14ac:dyDescent="0.35">
      <c r="A4799" s="82"/>
      <c r="B4799" s="19"/>
      <c r="C4799" s="19"/>
      <c r="D4799" s="19"/>
      <c r="E4799" s="19"/>
      <c r="F4799" s="19"/>
      <c r="G4799" s="19"/>
      <c r="H4799" s="19"/>
      <c r="I4799" s="19"/>
      <c r="J4799" s="19"/>
      <c r="K4799" s="19"/>
      <c r="L4799" s="19"/>
      <c r="M4799" s="20"/>
    </row>
    <row r="4800" spans="1:13" x14ac:dyDescent="0.35">
      <c r="A4800" s="81"/>
      <c r="B4800" s="17"/>
      <c r="C4800" s="17"/>
      <c r="D4800" s="17"/>
      <c r="E4800" s="17"/>
      <c r="F4800" s="17"/>
      <c r="G4800" s="17"/>
      <c r="H4800" s="17"/>
      <c r="I4800" s="17"/>
      <c r="J4800" s="17"/>
      <c r="K4800" s="17"/>
      <c r="L4800" s="17"/>
      <c r="M4800" s="18"/>
    </row>
    <row r="4801" spans="1:13" x14ac:dyDescent="0.35">
      <c r="A4801" s="81"/>
      <c r="B4801" s="17"/>
      <c r="C4801" s="17"/>
      <c r="D4801" s="17"/>
      <c r="E4801" s="17"/>
      <c r="F4801" s="17"/>
      <c r="G4801" s="17"/>
      <c r="H4801" s="17"/>
      <c r="I4801" s="17"/>
      <c r="J4801" s="17"/>
      <c r="K4801" s="17"/>
      <c r="L4801" s="17"/>
      <c r="M4801" s="18"/>
    </row>
    <row r="4802" spans="1:13" x14ac:dyDescent="0.35">
      <c r="A4802" s="81"/>
      <c r="B4802" s="17"/>
      <c r="C4802" s="17"/>
      <c r="D4802" s="17"/>
      <c r="E4802" s="17"/>
      <c r="F4802" s="17"/>
      <c r="G4802" s="17"/>
      <c r="H4802" s="17"/>
      <c r="I4802" s="17"/>
      <c r="J4802" s="17"/>
      <c r="K4802" s="17"/>
      <c r="L4802" s="17"/>
      <c r="M4802" s="18"/>
    </row>
    <row r="4803" spans="1:13" x14ac:dyDescent="0.35">
      <c r="A4803" s="82"/>
      <c r="B4803" s="19"/>
      <c r="C4803" s="19"/>
      <c r="D4803" s="19"/>
      <c r="E4803" s="19"/>
      <c r="F4803" s="19"/>
      <c r="G4803" s="19"/>
      <c r="H4803" s="19"/>
      <c r="I4803" s="19"/>
      <c r="J4803" s="19"/>
      <c r="K4803" s="19"/>
      <c r="L4803" s="19"/>
      <c r="M4803" s="20"/>
    </row>
    <row r="4804" spans="1:13" x14ac:dyDescent="0.35">
      <c r="A4804" s="81"/>
      <c r="B4804" s="17"/>
      <c r="C4804" s="17"/>
      <c r="D4804" s="17"/>
      <c r="E4804" s="17"/>
      <c r="F4804" s="17"/>
      <c r="G4804" s="17"/>
      <c r="H4804" s="17"/>
      <c r="I4804" s="17"/>
      <c r="J4804" s="17"/>
      <c r="K4804" s="17"/>
      <c r="L4804" s="17"/>
      <c r="M4804" s="18"/>
    </row>
    <row r="4805" spans="1:13" x14ac:dyDescent="0.35">
      <c r="A4805" s="81"/>
      <c r="B4805" s="17"/>
      <c r="C4805" s="17"/>
      <c r="D4805" s="17"/>
      <c r="E4805" s="17"/>
      <c r="F4805" s="17"/>
      <c r="G4805" s="17"/>
      <c r="H4805" s="17"/>
      <c r="I4805" s="17"/>
      <c r="J4805" s="17"/>
      <c r="K4805" s="17"/>
      <c r="L4805" s="17"/>
      <c r="M4805" s="18"/>
    </row>
    <row r="4806" spans="1:13" x14ac:dyDescent="0.35">
      <c r="A4806" s="82"/>
      <c r="B4806" s="19"/>
      <c r="C4806" s="19"/>
      <c r="D4806" s="19"/>
      <c r="E4806" s="19"/>
      <c r="F4806" s="19"/>
      <c r="G4806" s="19"/>
      <c r="H4806" s="19"/>
      <c r="I4806" s="19"/>
      <c r="J4806" s="19"/>
      <c r="K4806" s="19"/>
      <c r="L4806" s="19"/>
      <c r="M4806" s="20"/>
    </row>
    <row r="4807" spans="1:13" x14ac:dyDescent="0.35">
      <c r="A4807" s="81"/>
      <c r="B4807" s="17"/>
      <c r="C4807" s="17"/>
      <c r="D4807" s="17"/>
      <c r="E4807" s="17"/>
      <c r="F4807" s="17"/>
      <c r="G4807" s="17"/>
      <c r="H4807" s="17"/>
      <c r="I4807" s="17"/>
      <c r="J4807" s="17"/>
      <c r="K4807" s="17"/>
      <c r="L4807" s="17"/>
      <c r="M4807" s="18"/>
    </row>
    <row r="4808" spans="1:13" x14ac:dyDescent="0.35">
      <c r="A4808" s="82"/>
      <c r="B4808" s="19"/>
      <c r="C4808" s="19"/>
      <c r="D4808" s="19"/>
      <c r="E4808" s="19"/>
      <c r="F4808" s="19"/>
      <c r="G4808" s="19"/>
      <c r="H4808" s="19"/>
      <c r="I4808" s="19"/>
      <c r="J4808" s="19"/>
      <c r="K4808" s="19"/>
      <c r="L4808" s="19"/>
      <c r="M4808" s="20"/>
    </row>
    <row r="4809" spans="1:13" x14ac:dyDescent="0.35">
      <c r="A4809" s="81"/>
      <c r="B4809" s="17"/>
      <c r="C4809" s="17"/>
      <c r="D4809" s="17"/>
      <c r="E4809" s="17"/>
      <c r="F4809" s="17"/>
      <c r="G4809" s="17"/>
      <c r="H4809" s="17"/>
      <c r="I4809" s="17"/>
      <c r="J4809" s="17"/>
      <c r="K4809" s="17"/>
      <c r="L4809" s="17"/>
      <c r="M4809" s="18"/>
    </row>
    <row r="4810" spans="1:13" x14ac:dyDescent="0.35">
      <c r="A4810" s="82"/>
      <c r="B4810" s="19"/>
      <c r="C4810" s="19"/>
      <c r="D4810" s="19"/>
      <c r="E4810" s="19"/>
      <c r="F4810" s="19"/>
      <c r="G4810" s="19"/>
      <c r="H4810" s="19"/>
      <c r="I4810" s="19"/>
      <c r="J4810" s="19"/>
      <c r="K4810" s="19"/>
      <c r="L4810" s="19"/>
      <c r="M4810" s="20"/>
    </row>
    <row r="4811" spans="1:13" x14ac:dyDescent="0.35">
      <c r="A4811" s="81"/>
      <c r="B4811" s="17"/>
      <c r="C4811" s="17"/>
      <c r="D4811" s="17"/>
      <c r="E4811" s="17"/>
      <c r="F4811" s="17"/>
      <c r="G4811" s="17"/>
      <c r="H4811" s="17"/>
      <c r="I4811" s="17"/>
      <c r="J4811" s="17"/>
      <c r="K4811" s="17"/>
      <c r="L4811" s="17"/>
      <c r="M4811" s="18"/>
    </row>
    <row r="4812" spans="1:13" x14ac:dyDescent="0.35">
      <c r="A4812" s="81"/>
      <c r="B4812" s="17"/>
      <c r="C4812" s="17"/>
      <c r="D4812" s="17"/>
      <c r="E4812" s="17"/>
      <c r="F4812" s="17"/>
      <c r="G4812" s="17"/>
      <c r="H4812" s="17"/>
      <c r="I4812" s="17"/>
      <c r="J4812" s="17"/>
      <c r="K4812" s="17"/>
      <c r="L4812" s="17"/>
      <c r="M4812" s="18"/>
    </row>
    <row r="4813" spans="1:13" x14ac:dyDescent="0.35">
      <c r="A4813" s="82"/>
      <c r="B4813" s="19"/>
      <c r="C4813" s="19"/>
      <c r="D4813" s="19"/>
      <c r="E4813" s="19"/>
      <c r="F4813" s="19"/>
      <c r="G4813" s="19"/>
      <c r="H4813" s="19"/>
      <c r="I4813" s="19"/>
      <c r="J4813" s="19"/>
      <c r="K4813" s="19"/>
      <c r="L4813" s="19"/>
      <c r="M4813" s="20"/>
    </row>
    <row r="4814" spans="1:13" x14ac:dyDescent="0.35">
      <c r="A4814" s="82"/>
      <c r="B4814" s="19"/>
      <c r="C4814" s="19"/>
      <c r="D4814" s="19"/>
      <c r="E4814" s="19"/>
      <c r="F4814" s="19"/>
      <c r="G4814" s="19"/>
      <c r="H4814" s="19"/>
      <c r="I4814" s="19"/>
      <c r="J4814" s="19"/>
      <c r="K4814" s="19"/>
      <c r="L4814" s="19"/>
      <c r="M4814" s="20"/>
    </row>
    <row r="4815" spans="1:13" x14ac:dyDescent="0.35">
      <c r="A4815" s="82"/>
      <c r="B4815" s="19"/>
      <c r="C4815" s="19"/>
      <c r="D4815" s="19"/>
      <c r="E4815" s="19"/>
      <c r="F4815" s="19"/>
      <c r="G4815" s="19"/>
      <c r="H4815" s="19"/>
      <c r="I4815" s="19"/>
      <c r="J4815" s="19"/>
      <c r="K4815" s="19"/>
      <c r="L4815" s="19"/>
      <c r="M4815" s="20"/>
    </row>
    <row r="4816" spans="1:13" x14ac:dyDescent="0.35">
      <c r="A4816" s="82"/>
      <c r="B4816" s="19"/>
      <c r="C4816" s="19"/>
      <c r="D4816" s="19"/>
      <c r="E4816" s="19"/>
      <c r="F4816" s="19"/>
      <c r="G4816" s="19"/>
      <c r="H4816" s="19"/>
      <c r="I4816" s="19"/>
      <c r="J4816" s="19"/>
      <c r="K4816" s="19"/>
      <c r="L4816" s="19"/>
      <c r="M4816" s="20"/>
    </row>
    <row r="4817" spans="1:13" x14ac:dyDescent="0.35">
      <c r="A4817" s="82"/>
      <c r="B4817" s="19"/>
      <c r="C4817" s="19"/>
      <c r="D4817" s="19"/>
      <c r="E4817" s="19"/>
      <c r="F4817" s="19"/>
      <c r="G4817" s="19"/>
      <c r="H4817" s="19"/>
      <c r="I4817" s="19"/>
      <c r="J4817" s="19"/>
      <c r="K4817" s="19"/>
      <c r="L4817" s="19"/>
      <c r="M4817" s="20"/>
    </row>
    <row r="4818" spans="1:13" x14ac:dyDescent="0.35">
      <c r="A4818" s="82"/>
      <c r="B4818" s="19"/>
      <c r="C4818" s="19"/>
      <c r="D4818" s="19"/>
      <c r="E4818" s="19"/>
      <c r="F4818" s="19"/>
      <c r="G4818" s="19"/>
      <c r="H4818" s="19"/>
      <c r="I4818" s="19"/>
      <c r="J4818" s="19"/>
      <c r="K4818" s="19"/>
      <c r="L4818" s="19"/>
      <c r="M4818" s="20"/>
    </row>
    <row r="4819" spans="1:13" x14ac:dyDescent="0.35">
      <c r="A4819" s="82"/>
      <c r="B4819" s="19"/>
      <c r="C4819" s="19"/>
      <c r="D4819" s="19"/>
      <c r="E4819" s="19"/>
      <c r="F4819" s="19"/>
      <c r="G4819" s="19"/>
      <c r="H4819" s="19"/>
      <c r="I4819" s="19"/>
      <c r="J4819" s="19"/>
      <c r="K4819" s="19"/>
      <c r="L4819" s="19"/>
      <c r="M4819" s="20"/>
    </row>
    <row r="4820" spans="1:13" x14ac:dyDescent="0.35">
      <c r="A4820" s="82"/>
      <c r="B4820" s="19"/>
      <c r="C4820" s="19"/>
      <c r="D4820" s="19"/>
      <c r="E4820" s="19"/>
      <c r="F4820" s="19"/>
      <c r="G4820" s="19"/>
      <c r="H4820" s="19"/>
      <c r="I4820" s="19"/>
      <c r="J4820" s="19"/>
      <c r="K4820" s="19"/>
      <c r="L4820" s="19"/>
      <c r="M4820" s="20"/>
    </row>
    <row r="4821" spans="1:13" x14ac:dyDescent="0.35">
      <c r="A4821" s="82"/>
      <c r="B4821" s="19"/>
      <c r="C4821" s="19"/>
      <c r="D4821" s="19"/>
      <c r="E4821" s="19"/>
      <c r="F4821" s="19"/>
      <c r="G4821" s="19"/>
      <c r="H4821" s="19"/>
      <c r="I4821" s="19"/>
      <c r="J4821" s="19"/>
      <c r="K4821" s="19"/>
      <c r="L4821" s="19"/>
      <c r="M4821" s="20"/>
    </row>
    <row r="4822" spans="1:13" x14ac:dyDescent="0.35">
      <c r="A4822" s="82"/>
      <c r="B4822" s="19"/>
      <c r="C4822" s="19"/>
      <c r="D4822" s="19"/>
      <c r="E4822" s="19"/>
      <c r="F4822" s="19"/>
      <c r="G4822" s="19"/>
      <c r="H4822" s="19"/>
      <c r="I4822" s="19"/>
      <c r="J4822" s="19"/>
      <c r="K4822" s="19"/>
      <c r="L4822" s="19"/>
      <c r="M4822" s="20"/>
    </row>
    <row r="4823" spans="1:13" x14ac:dyDescent="0.35">
      <c r="A4823" s="82"/>
      <c r="B4823" s="19"/>
      <c r="C4823" s="19"/>
      <c r="D4823" s="19"/>
      <c r="E4823" s="19"/>
      <c r="F4823" s="19"/>
      <c r="G4823" s="19"/>
      <c r="H4823" s="19"/>
      <c r="I4823" s="19"/>
      <c r="J4823" s="19"/>
      <c r="K4823" s="19"/>
      <c r="L4823" s="19"/>
      <c r="M4823" s="20"/>
    </row>
    <row r="4824" spans="1:13" x14ac:dyDescent="0.35">
      <c r="A4824" s="82"/>
      <c r="B4824" s="19"/>
      <c r="C4824" s="19"/>
      <c r="D4824" s="19"/>
      <c r="E4824" s="19"/>
      <c r="F4824" s="19"/>
      <c r="G4824" s="19"/>
      <c r="H4824" s="19"/>
      <c r="I4824" s="19"/>
      <c r="J4824" s="19"/>
      <c r="K4824" s="19"/>
      <c r="L4824" s="19"/>
      <c r="M4824" s="20"/>
    </row>
    <row r="4825" spans="1:13" x14ac:dyDescent="0.35">
      <c r="A4825" s="82"/>
      <c r="B4825" s="19"/>
      <c r="C4825" s="19"/>
      <c r="D4825" s="19"/>
      <c r="E4825" s="19"/>
      <c r="F4825" s="19"/>
      <c r="G4825" s="19"/>
      <c r="H4825" s="19"/>
      <c r="I4825" s="19"/>
      <c r="J4825" s="19"/>
      <c r="K4825" s="19"/>
      <c r="L4825" s="19"/>
      <c r="M4825" s="20"/>
    </row>
    <row r="4826" spans="1:13" x14ac:dyDescent="0.35">
      <c r="A4826" s="82"/>
      <c r="B4826" s="19"/>
      <c r="C4826" s="19"/>
      <c r="D4826" s="19"/>
      <c r="E4826" s="19"/>
      <c r="F4826" s="19"/>
      <c r="G4826" s="19"/>
      <c r="H4826" s="19"/>
      <c r="I4826" s="19"/>
      <c r="J4826" s="19"/>
      <c r="K4826" s="19"/>
      <c r="L4826" s="19"/>
      <c r="M4826" s="20"/>
    </row>
    <row r="4827" spans="1:13" x14ac:dyDescent="0.35">
      <c r="A4827" s="82"/>
      <c r="B4827" s="19"/>
      <c r="C4827" s="19"/>
      <c r="D4827" s="19"/>
      <c r="E4827" s="19"/>
      <c r="F4827" s="19"/>
      <c r="G4827" s="19"/>
      <c r="H4827" s="19"/>
      <c r="I4827" s="19"/>
      <c r="J4827" s="19"/>
      <c r="K4827" s="19"/>
      <c r="L4827" s="19"/>
      <c r="M4827" s="20"/>
    </row>
    <row r="4828" spans="1:13" x14ac:dyDescent="0.35">
      <c r="A4828" s="82"/>
      <c r="B4828" s="19"/>
      <c r="C4828" s="19"/>
      <c r="D4828" s="19"/>
      <c r="E4828" s="19"/>
      <c r="F4828" s="19"/>
      <c r="G4828" s="19"/>
      <c r="H4828" s="19"/>
      <c r="I4828" s="19"/>
      <c r="J4828" s="19"/>
      <c r="K4828" s="19"/>
      <c r="L4828" s="19"/>
      <c r="M4828" s="20"/>
    </row>
    <row r="4829" spans="1:13" x14ac:dyDescent="0.35">
      <c r="A4829" s="82"/>
      <c r="B4829" s="19"/>
      <c r="C4829" s="19"/>
      <c r="D4829" s="19"/>
      <c r="E4829" s="19"/>
      <c r="F4829" s="19"/>
      <c r="G4829" s="19"/>
      <c r="H4829" s="19"/>
      <c r="I4829" s="19"/>
      <c r="J4829" s="19"/>
      <c r="K4829" s="19"/>
      <c r="L4829" s="19"/>
      <c r="M4829" s="20"/>
    </row>
    <row r="4830" spans="1:13" x14ac:dyDescent="0.35">
      <c r="A4830" s="82"/>
      <c r="B4830" s="19"/>
      <c r="C4830" s="19"/>
      <c r="D4830" s="19"/>
      <c r="E4830" s="19"/>
      <c r="F4830" s="19"/>
      <c r="G4830" s="19"/>
      <c r="H4830" s="19"/>
      <c r="I4830" s="19"/>
      <c r="J4830" s="19"/>
      <c r="K4830" s="19"/>
      <c r="L4830" s="19"/>
      <c r="M4830" s="20"/>
    </row>
    <row r="4831" spans="1:13" x14ac:dyDescent="0.35">
      <c r="A4831" s="82"/>
      <c r="B4831" s="19"/>
      <c r="C4831" s="19"/>
      <c r="D4831" s="19"/>
      <c r="E4831" s="19"/>
      <c r="F4831" s="19"/>
      <c r="G4831" s="19"/>
      <c r="H4831" s="19"/>
      <c r="I4831" s="19"/>
      <c r="J4831" s="19"/>
      <c r="K4831" s="19"/>
      <c r="L4831" s="19"/>
      <c r="M4831" s="20"/>
    </row>
    <row r="4832" spans="1:13" x14ac:dyDescent="0.35">
      <c r="A4832" s="82"/>
      <c r="B4832" s="19"/>
      <c r="C4832" s="19"/>
      <c r="D4832" s="19"/>
      <c r="E4832" s="19"/>
      <c r="F4832" s="19"/>
      <c r="G4832" s="19"/>
      <c r="H4832" s="19"/>
      <c r="I4832" s="19"/>
      <c r="J4832" s="19"/>
      <c r="K4832" s="19"/>
      <c r="L4832" s="19"/>
      <c r="M4832" s="20"/>
    </row>
    <row r="4833" spans="1:13" x14ac:dyDescent="0.35">
      <c r="A4833" s="81"/>
      <c r="B4833" s="17"/>
      <c r="C4833" s="17"/>
      <c r="D4833" s="17"/>
      <c r="E4833" s="17"/>
      <c r="F4833" s="17"/>
      <c r="G4833" s="17"/>
      <c r="H4833" s="17"/>
      <c r="I4833" s="17"/>
      <c r="J4833" s="17"/>
      <c r="K4833" s="17"/>
      <c r="L4833" s="17"/>
      <c r="M4833" s="18"/>
    </row>
    <row r="4834" spans="1:13" x14ac:dyDescent="0.35">
      <c r="A4834" s="81"/>
      <c r="B4834" s="17"/>
      <c r="C4834" s="17"/>
      <c r="D4834" s="17"/>
      <c r="E4834" s="17"/>
      <c r="F4834" s="17"/>
      <c r="G4834" s="17"/>
      <c r="H4834" s="17"/>
      <c r="I4834" s="17"/>
      <c r="J4834" s="17"/>
      <c r="K4834" s="17"/>
      <c r="L4834" s="17"/>
      <c r="M4834" s="18"/>
    </row>
    <row r="4835" spans="1:13" x14ac:dyDescent="0.35">
      <c r="A4835" s="82"/>
      <c r="B4835" s="19"/>
      <c r="C4835" s="19"/>
      <c r="D4835" s="19"/>
      <c r="E4835" s="19"/>
      <c r="F4835" s="19"/>
      <c r="G4835" s="19"/>
      <c r="H4835" s="19"/>
      <c r="I4835" s="19"/>
      <c r="J4835" s="19"/>
      <c r="K4835" s="19"/>
      <c r="L4835" s="19"/>
      <c r="M4835" s="20"/>
    </row>
    <row r="4836" spans="1:13" x14ac:dyDescent="0.35">
      <c r="A4836" s="81"/>
      <c r="B4836" s="17"/>
      <c r="C4836" s="17"/>
      <c r="D4836" s="17"/>
      <c r="E4836" s="17"/>
      <c r="F4836" s="17"/>
      <c r="G4836" s="17"/>
      <c r="H4836" s="17"/>
      <c r="I4836" s="17"/>
      <c r="J4836" s="17"/>
      <c r="K4836" s="17"/>
      <c r="L4836" s="17"/>
      <c r="M4836" s="18"/>
    </row>
    <row r="4837" spans="1:13" x14ac:dyDescent="0.35">
      <c r="A4837" s="81"/>
      <c r="B4837" s="17"/>
      <c r="C4837" s="17"/>
      <c r="D4837" s="17"/>
      <c r="E4837" s="17"/>
      <c r="F4837" s="17"/>
      <c r="G4837" s="17"/>
      <c r="H4837" s="17"/>
      <c r="I4837" s="17"/>
      <c r="J4837" s="17"/>
      <c r="K4837" s="17"/>
      <c r="L4837" s="17"/>
      <c r="M4837" s="18"/>
    </row>
    <row r="4838" spans="1:13" x14ac:dyDescent="0.35">
      <c r="A4838" s="82"/>
      <c r="B4838" s="19"/>
      <c r="C4838" s="19"/>
      <c r="D4838" s="19"/>
      <c r="E4838" s="19"/>
      <c r="F4838" s="19"/>
      <c r="G4838" s="19"/>
      <c r="H4838" s="19"/>
      <c r="I4838" s="19"/>
      <c r="J4838" s="19"/>
      <c r="K4838" s="19"/>
      <c r="L4838" s="19"/>
      <c r="M4838" s="20"/>
    </row>
    <row r="4839" spans="1:13" x14ac:dyDescent="0.35">
      <c r="A4839" s="81"/>
      <c r="B4839" s="17"/>
      <c r="C4839" s="17"/>
      <c r="D4839" s="17"/>
      <c r="E4839" s="17"/>
      <c r="F4839" s="17"/>
      <c r="G4839" s="17"/>
      <c r="H4839" s="17"/>
      <c r="I4839" s="17"/>
      <c r="J4839" s="17"/>
      <c r="K4839" s="17"/>
      <c r="L4839" s="17"/>
      <c r="M4839" s="18"/>
    </row>
    <row r="4840" spans="1:13" x14ac:dyDescent="0.35">
      <c r="A4840" s="82"/>
      <c r="B4840" s="19"/>
      <c r="C4840" s="19"/>
      <c r="D4840" s="19"/>
      <c r="E4840" s="19"/>
      <c r="F4840" s="19"/>
      <c r="G4840" s="19"/>
      <c r="H4840" s="19"/>
      <c r="I4840" s="19"/>
      <c r="J4840" s="19"/>
      <c r="K4840" s="19"/>
      <c r="L4840" s="19"/>
      <c r="M4840" s="20"/>
    </row>
    <row r="4841" spans="1:13" x14ac:dyDescent="0.35">
      <c r="A4841" s="81"/>
      <c r="B4841" s="17"/>
      <c r="C4841" s="17"/>
      <c r="D4841" s="17"/>
      <c r="E4841" s="17"/>
      <c r="F4841" s="17"/>
      <c r="G4841" s="17"/>
      <c r="H4841" s="17"/>
      <c r="I4841" s="17"/>
      <c r="J4841" s="17"/>
      <c r="K4841" s="17"/>
      <c r="L4841" s="17"/>
      <c r="M4841" s="18"/>
    </row>
    <row r="4842" spans="1:13" x14ac:dyDescent="0.35">
      <c r="A4842" s="82"/>
      <c r="B4842" s="19"/>
      <c r="C4842" s="19"/>
      <c r="D4842" s="19"/>
      <c r="E4842" s="19"/>
      <c r="F4842" s="19"/>
      <c r="G4842" s="19"/>
      <c r="H4842" s="19"/>
      <c r="I4842" s="19"/>
      <c r="J4842" s="19"/>
      <c r="K4842" s="19"/>
      <c r="L4842" s="19"/>
      <c r="M4842" s="20"/>
    </row>
    <row r="4843" spans="1:13" x14ac:dyDescent="0.35">
      <c r="A4843" s="82"/>
      <c r="B4843" s="19"/>
      <c r="C4843" s="19"/>
      <c r="D4843" s="19"/>
      <c r="E4843" s="19"/>
      <c r="F4843" s="19"/>
      <c r="G4843" s="19"/>
      <c r="H4843" s="19"/>
      <c r="I4843" s="19"/>
      <c r="J4843" s="19"/>
      <c r="K4843" s="19"/>
      <c r="L4843" s="19"/>
      <c r="M4843" s="20"/>
    </row>
    <row r="4844" spans="1:13" x14ac:dyDescent="0.35">
      <c r="A4844" s="81"/>
      <c r="B4844" s="17"/>
      <c r="C4844" s="17"/>
      <c r="D4844" s="17"/>
      <c r="E4844" s="17"/>
      <c r="F4844" s="17"/>
      <c r="G4844" s="17"/>
      <c r="H4844" s="17"/>
      <c r="I4844" s="17"/>
      <c r="J4844" s="17"/>
      <c r="K4844" s="17"/>
      <c r="L4844" s="17"/>
      <c r="M4844" s="18"/>
    </row>
    <row r="4845" spans="1:13" x14ac:dyDescent="0.35">
      <c r="A4845" s="82"/>
      <c r="B4845" s="19"/>
      <c r="C4845" s="19"/>
      <c r="D4845" s="19"/>
      <c r="E4845" s="19"/>
      <c r="F4845" s="19"/>
      <c r="G4845" s="19"/>
      <c r="H4845" s="19"/>
      <c r="I4845" s="19"/>
      <c r="J4845" s="19"/>
      <c r="K4845" s="19"/>
      <c r="L4845" s="19"/>
      <c r="M4845" s="20"/>
    </row>
    <row r="4846" spans="1:13" x14ac:dyDescent="0.35">
      <c r="A4846" s="81"/>
      <c r="B4846" s="17"/>
      <c r="C4846" s="17"/>
      <c r="D4846" s="17"/>
      <c r="E4846" s="17"/>
      <c r="F4846" s="17"/>
      <c r="G4846" s="17"/>
      <c r="H4846" s="17"/>
      <c r="I4846" s="17"/>
      <c r="J4846" s="17"/>
      <c r="K4846" s="17"/>
      <c r="L4846" s="17"/>
      <c r="M4846" s="18"/>
    </row>
    <row r="4847" spans="1:13" x14ac:dyDescent="0.35">
      <c r="A4847" s="82"/>
      <c r="B4847" s="19"/>
      <c r="C4847" s="19"/>
      <c r="D4847" s="19"/>
      <c r="E4847" s="19"/>
      <c r="F4847" s="19"/>
      <c r="G4847" s="19"/>
      <c r="H4847" s="19"/>
      <c r="I4847" s="19"/>
      <c r="J4847" s="19"/>
      <c r="K4847" s="19"/>
      <c r="L4847" s="19"/>
      <c r="M4847" s="20"/>
    </row>
    <row r="4848" spans="1:13" x14ac:dyDescent="0.35">
      <c r="A4848" s="82"/>
      <c r="B4848" s="19"/>
      <c r="C4848" s="19"/>
      <c r="D4848" s="19"/>
      <c r="E4848" s="19"/>
      <c r="F4848" s="19"/>
      <c r="G4848" s="19"/>
      <c r="H4848" s="19"/>
      <c r="I4848" s="19"/>
      <c r="J4848" s="19"/>
      <c r="K4848" s="19"/>
      <c r="L4848" s="19"/>
      <c r="M4848" s="20"/>
    </row>
    <row r="4849" spans="1:13" x14ac:dyDescent="0.35">
      <c r="A4849" s="82"/>
      <c r="B4849" s="19"/>
      <c r="C4849" s="19"/>
      <c r="D4849" s="19"/>
      <c r="E4849" s="19"/>
      <c r="F4849" s="19"/>
      <c r="G4849" s="19"/>
      <c r="H4849" s="19"/>
      <c r="I4849" s="19"/>
      <c r="J4849" s="19"/>
      <c r="K4849" s="19"/>
      <c r="L4849" s="19"/>
      <c r="M4849" s="20"/>
    </row>
    <row r="4850" spans="1:13" x14ac:dyDescent="0.35">
      <c r="A4850" s="81"/>
      <c r="B4850" s="17"/>
      <c r="C4850" s="17"/>
      <c r="D4850" s="17"/>
      <c r="E4850" s="17"/>
      <c r="F4850" s="17"/>
      <c r="G4850" s="17"/>
      <c r="H4850" s="17"/>
      <c r="I4850" s="17"/>
      <c r="J4850" s="17"/>
      <c r="K4850" s="17"/>
      <c r="L4850" s="17"/>
      <c r="M4850" s="18"/>
    </row>
    <row r="4851" spans="1:13" x14ac:dyDescent="0.35">
      <c r="A4851" s="82"/>
      <c r="B4851" s="19"/>
      <c r="C4851" s="19"/>
      <c r="D4851" s="19"/>
      <c r="E4851" s="19"/>
      <c r="F4851" s="19"/>
      <c r="G4851" s="19"/>
      <c r="H4851" s="19"/>
      <c r="I4851" s="19"/>
      <c r="J4851" s="19"/>
      <c r="K4851" s="19"/>
      <c r="L4851" s="19"/>
      <c r="M4851" s="20"/>
    </row>
    <row r="4852" spans="1:13" x14ac:dyDescent="0.35">
      <c r="A4852" s="81"/>
      <c r="B4852" s="17"/>
      <c r="C4852" s="17"/>
      <c r="D4852" s="17"/>
      <c r="E4852" s="17"/>
      <c r="F4852" s="17"/>
      <c r="G4852" s="17"/>
      <c r="H4852" s="17"/>
      <c r="I4852" s="17"/>
      <c r="J4852" s="17"/>
      <c r="K4852" s="17"/>
      <c r="L4852" s="17"/>
      <c r="M4852" s="18"/>
    </row>
    <row r="4853" spans="1:13" x14ac:dyDescent="0.35">
      <c r="A4853" s="82"/>
      <c r="B4853" s="19"/>
      <c r="C4853" s="19"/>
      <c r="D4853" s="19"/>
      <c r="E4853" s="19"/>
      <c r="F4853" s="19"/>
      <c r="G4853" s="19"/>
      <c r="H4853" s="19"/>
      <c r="I4853" s="19"/>
      <c r="J4853" s="19"/>
      <c r="K4853" s="19"/>
      <c r="L4853" s="19"/>
      <c r="M4853" s="20"/>
    </row>
    <row r="4854" spans="1:13" x14ac:dyDescent="0.35">
      <c r="A4854" s="82"/>
      <c r="B4854" s="19"/>
      <c r="C4854" s="19"/>
      <c r="D4854" s="19"/>
      <c r="E4854" s="19"/>
      <c r="F4854" s="19"/>
      <c r="G4854" s="19"/>
      <c r="H4854" s="19"/>
      <c r="I4854" s="19"/>
      <c r="J4854" s="19"/>
      <c r="K4854" s="19"/>
      <c r="L4854" s="19"/>
      <c r="M4854" s="20"/>
    </row>
    <row r="4855" spans="1:13" x14ac:dyDescent="0.35">
      <c r="A4855" s="81"/>
      <c r="B4855" s="17"/>
      <c r="C4855" s="17"/>
      <c r="D4855" s="17"/>
      <c r="E4855" s="17"/>
      <c r="F4855" s="17"/>
      <c r="G4855" s="17"/>
      <c r="H4855" s="17"/>
      <c r="I4855" s="17"/>
      <c r="J4855" s="17"/>
      <c r="K4855" s="17"/>
      <c r="L4855" s="17"/>
      <c r="M4855" s="18"/>
    </row>
    <row r="4856" spans="1:13" x14ac:dyDescent="0.35">
      <c r="A4856" s="81"/>
      <c r="B4856" s="17"/>
      <c r="C4856" s="17"/>
      <c r="D4856" s="17"/>
      <c r="E4856" s="17"/>
      <c r="F4856" s="17"/>
      <c r="G4856" s="17"/>
      <c r="H4856" s="17"/>
      <c r="I4856" s="17"/>
      <c r="J4856" s="17"/>
      <c r="K4856" s="17"/>
      <c r="L4856" s="17"/>
      <c r="M4856" s="18"/>
    </row>
    <row r="4857" spans="1:13" x14ac:dyDescent="0.35">
      <c r="A4857" s="81"/>
      <c r="B4857" s="17"/>
      <c r="C4857" s="17"/>
      <c r="D4857" s="17"/>
      <c r="E4857" s="17"/>
      <c r="F4857" s="17"/>
      <c r="G4857" s="17"/>
      <c r="H4857" s="17"/>
      <c r="I4857" s="17"/>
      <c r="J4857" s="17"/>
      <c r="K4857" s="17"/>
      <c r="L4857" s="17"/>
      <c r="M4857" s="18"/>
    </row>
    <row r="4858" spans="1:13" x14ac:dyDescent="0.35">
      <c r="A4858" s="81"/>
      <c r="B4858" s="17"/>
      <c r="C4858" s="17"/>
      <c r="D4858" s="17"/>
      <c r="E4858" s="17"/>
      <c r="F4858" s="17"/>
      <c r="G4858" s="17"/>
      <c r="H4858" s="17"/>
      <c r="I4858" s="17"/>
      <c r="J4858" s="17"/>
      <c r="K4858" s="17"/>
      <c r="L4858" s="17"/>
      <c r="M4858" s="18"/>
    </row>
    <row r="4859" spans="1:13" x14ac:dyDescent="0.35">
      <c r="A4859" s="82"/>
      <c r="B4859" s="19"/>
      <c r="C4859" s="19"/>
      <c r="D4859" s="19"/>
      <c r="E4859" s="19"/>
      <c r="F4859" s="19"/>
      <c r="G4859" s="19"/>
      <c r="H4859" s="19"/>
      <c r="I4859" s="19"/>
      <c r="J4859" s="19"/>
      <c r="K4859" s="19"/>
      <c r="L4859" s="19"/>
      <c r="M4859" s="20"/>
    </row>
    <row r="4860" spans="1:13" x14ac:dyDescent="0.35">
      <c r="A4860" s="81"/>
      <c r="B4860" s="17"/>
      <c r="C4860" s="17"/>
      <c r="D4860" s="17"/>
      <c r="E4860" s="17"/>
      <c r="F4860" s="17"/>
      <c r="G4860" s="17"/>
      <c r="H4860" s="17"/>
      <c r="I4860" s="17"/>
      <c r="J4860" s="17"/>
      <c r="K4860" s="17"/>
      <c r="L4860" s="17"/>
      <c r="M4860" s="18"/>
    </row>
    <row r="4861" spans="1:13" x14ac:dyDescent="0.35">
      <c r="A4861" s="82"/>
      <c r="B4861" s="19"/>
      <c r="C4861" s="19"/>
      <c r="D4861" s="19"/>
      <c r="E4861" s="19"/>
      <c r="F4861" s="19"/>
      <c r="G4861" s="19"/>
      <c r="H4861" s="19"/>
      <c r="I4861" s="19"/>
      <c r="J4861" s="19"/>
      <c r="K4861" s="19"/>
      <c r="L4861" s="19"/>
      <c r="M4861" s="20"/>
    </row>
    <row r="4862" spans="1:13" x14ac:dyDescent="0.35">
      <c r="A4862" s="82"/>
      <c r="B4862" s="19"/>
      <c r="C4862" s="19"/>
      <c r="D4862" s="19"/>
      <c r="E4862" s="19"/>
      <c r="F4862" s="19"/>
      <c r="G4862" s="19"/>
      <c r="H4862" s="19"/>
      <c r="I4862" s="19"/>
      <c r="J4862" s="19"/>
      <c r="K4862" s="19"/>
      <c r="L4862" s="19"/>
      <c r="M4862" s="20"/>
    </row>
    <row r="4863" spans="1:13" x14ac:dyDescent="0.35">
      <c r="A4863" s="82"/>
      <c r="B4863" s="19"/>
      <c r="C4863" s="19"/>
      <c r="D4863" s="19"/>
      <c r="E4863" s="19"/>
      <c r="F4863" s="19"/>
      <c r="G4863" s="19"/>
      <c r="H4863" s="19"/>
      <c r="I4863" s="19"/>
      <c r="J4863" s="19"/>
      <c r="K4863" s="19"/>
      <c r="L4863" s="19"/>
      <c r="M4863" s="20"/>
    </row>
    <row r="4864" spans="1:13" x14ac:dyDescent="0.35">
      <c r="A4864" s="81"/>
      <c r="B4864" s="17"/>
      <c r="C4864" s="17"/>
      <c r="D4864" s="17"/>
      <c r="E4864" s="17"/>
      <c r="F4864" s="17"/>
      <c r="G4864" s="17"/>
      <c r="H4864" s="17"/>
      <c r="I4864" s="17"/>
      <c r="J4864" s="17"/>
      <c r="K4864" s="17"/>
      <c r="L4864" s="17"/>
      <c r="M4864" s="18"/>
    </row>
    <row r="4865" spans="1:13" x14ac:dyDescent="0.35">
      <c r="A4865" s="82"/>
      <c r="B4865" s="19"/>
      <c r="C4865" s="19"/>
      <c r="D4865" s="19"/>
      <c r="E4865" s="19"/>
      <c r="F4865" s="19"/>
      <c r="G4865" s="19"/>
      <c r="H4865" s="19"/>
      <c r="I4865" s="19"/>
      <c r="J4865" s="19"/>
      <c r="K4865" s="19"/>
      <c r="L4865" s="19"/>
      <c r="M4865" s="20"/>
    </row>
    <row r="4866" spans="1:13" x14ac:dyDescent="0.35">
      <c r="A4866" s="81"/>
      <c r="B4866" s="17"/>
      <c r="C4866" s="17"/>
      <c r="D4866" s="17"/>
      <c r="E4866" s="17"/>
      <c r="F4866" s="17"/>
      <c r="G4866" s="17"/>
      <c r="H4866" s="17"/>
      <c r="I4866" s="17"/>
      <c r="J4866" s="17"/>
      <c r="K4866" s="17"/>
      <c r="L4866" s="17"/>
      <c r="M4866" s="18"/>
    </row>
    <row r="4867" spans="1:13" x14ac:dyDescent="0.35">
      <c r="A4867" s="82"/>
      <c r="B4867" s="19"/>
      <c r="C4867" s="19"/>
      <c r="D4867" s="19"/>
      <c r="E4867" s="19"/>
      <c r="F4867" s="19"/>
      <c r="G4867" s="19"/>
      <c r="H4867" s="19"/>
      <c r="I4867" s="19"/>
      <c r="J4867" s="19"/>
      <c r="K4867" s="19"/>
      <c r="L4867" s="19"/>
      <c r="M4867" s="20"/>
    </row>
    <row r="4868" spans="1:13" x14ac:dyDescent="0.35">
      <c r="A4868" s="81"/>
      <c r="B4868" s="17"/>
      <c r="C4868" s="17"/>
      <c r="D4868" s="17"/>
      <c r="E4868" s="17"/>
      <c r="F4868" s="17"/>
      <c r="G4868" s="17"/>
      <c r="H4868" s="17"/>
      <c r="I4868" s="17"/>
      <c r="J4868" s="17"/>
      <c r="K4868" s="17"/>
      <c r="L4868" s="17"/>
      <c r="M4868" s="18"/>
    </row>
    <row r="4869" spans="1:13" x14ac:dyDescent="0.35">
      <c r="A4869" s="82"/>
      <c r="B4869" s="19"/>
      <c r="C4869" s="19"/>
      <c r="D4869" s="19"/>
      <c r="E4869" s="19"/>
      <c r="F4869" s="19"/>
      <c r="G4869" s="19"/>
      <c r="H4869" s="19"/>
      <c r="I4869" s="19"/>
      <c r="J4869" s="19"/>
      <c r="K4869" s="19"/>
      <c r="L4869" s="19"/>
      <c r="M4869" s="20"/>
    </row>
    <row r="4870" spans="1:13" x14ac:dyDescent="0.35">
      <c r="A4870" s="82"/>
      <c r="B4870" s="19"/>
      <c r="C4870" s="19"/>
      <c r="D4870" s="19"/>
      <c r="E4870" s="19"/>
      <c r="F4870" s="19"/>
      <c r="G4870" s="19"/>
      <c r="H4870" s="19"/>
      <c r="I4870" s="19"/>
      <c r="J4870" s="19"/>
      <c r="K4870" s="19"/>
      <c r="L4870" s="19"/>
      <c r="M4870" s="20"/>
    </row>
    <row r="4871" spans="1:13" x14ac:dyDescent="0.35">
      <c r="A4871" s="82"/>
      <c r="B4871" s="19"/>
      <c r="C4871" s="19"/>
      <c r="D4871" s="19"/>
      <c r="E4871" s="19"/>
      <c r="F4871" s="19"/>
      <c r="G4871" s="19"/>
      <c r="H4871" s="19"/>
      <c r="I4871" s="19"/>
      <c r="J4871" s="19"/>
      <c r="K4871" s="19"/>
      <c r="L4871" s="19"/>
      <c r="M4871" s="20"/>
    </row>
    <row r="4872" spans="1:13" x14ac:dyDescent="0.35">
      <c r="A4872" s="82"/>
      <c r="B4872" s="19"/>
      <c r="C4872" s="19"/>
      <c r="D4872" s="19"/>
      <c r="E4872" s="19"/>
      <c r="F4872" s="19"/>
      <c r="G4872" s="19"/>
      <c r="H4872" s="19"/>
      <c r="I4872" s="19"/>
      <c r="J4872" s="19"/>
      <c r="K4872" s="19"/>
      <c r="L4872" s="19"/>
      <c r="M4872" s="20"/>
    </row>
    <row r="4873" spans="1:13" x14ac:dyDescent="0.35">
      <c r="A4873" s="82"/>
      <c r="B4873" s="19"/>
      <c r="C4873" s="19"/>
      <c r="D4873" s="19"/>
      <c r="E4873" s="19"/>
      <c r="F4873" s="19"/>
      <c r="G4873" s="19"/>
      <c r="H4873" s="19"/>
      <c r="I4873" s="19"/>
      <c r="J4873" s="19"/>
      <c r="K4873" s="19"/>
      <c r="L4873" s="19"/>
      <c r="M4873" s="20"/>
    </row>
    <row r="4874" spans="1:13" x14ac:dyDescent="0.35">
      <c r="A4874" s="82"/>
      <c r="B4874" s="19"/>
      <c r="C4874" s="19"/>
      <c r="D4874" s="19"/>
      <c r="E4874" s="19"/>
      <c r="F4874" s="19"/>
      <c r="G4874" s="19"/>
      <c r="H4874" s="19"/>
      <c r="I4874" s="19"/>
      <c r="J4874" s="19"/>
      <c r="K4874" s="19"/>
      <c r="L4874" s="19"/>
      <c r="M4874" s="20"/>
    </row>
    <row r="4875" spans="1:13" x14ac:dyDescent="0.35">
      <c r="A4875" s="82"/>
      <c r="B4875" s="19"/>
      <c r="C4875" s="19"/>
      <c r="D4875" s="19"/>
      <c r="E4875" s="19"/>
      <c r="F4875" s="19"/>
      <c r="G4875" s="19"/>
      <c r="H4875" s="19"/>
      <c r="I4875" s="19"/>
      <c r="J4875" s="19"/>
      <c r="K4875" s="19"/>
      <c r="L4875" s="19"/>
      <c r="M4875" s="20"/>
    </row>
    <row r="4876" spans="1:13" x14ac:dyDescent="0.35">
      <c r="A4876" s="82"/>
      <c r="B4876" s="19"/>
      <c r="C4876" s="19"/>
      <c r="D4876" s="19"/>
      <c r="E4876" s="19"/>
      <c r="F4876" s="19"/>
      <c r="G4876" s="19"/>
      <c r="H4876" s="19"/>
      <c r="I4876" s="19"/>
      <c r="J4876" s="19"/>
      <c r="K4876" s="19"/>
      <c r="L4876" s="19"/>
      <c r="M4876" s="20"/>
    </row>
    <row r="4877" spans="1:13" x14ac:dyDescent="0.35">
      <c r="A4877" s="82"/>
      <c r="B4877" s="19"/>
      <c r="C4877" s="19"/>
      <c r="D4877" s="19"/>
      <c r="E4877" s="19"/>
      <c r="F4877" s="19"/>
      <c r="G4877" s="19"/>
      <c r="H4877" s="19"/>
      <c r="I4877" s="19"/>
      <c r="J4877" s="19"/>
      <c r="K4877" s="19"/>
      <c r="L4877" s="19"/>
      <c r="M4877" s="20"/>
    </row>
    <row r="4878" spans="1:13" x14ac:dyDescent="0.35">
      <c r="A4878" s="82"/>
      <c r="B4878" s="19"/>
      <c r="C4878" s="19"/>
      <c r="D4878" s="19"/>
      <c r="E4878" s="19"/>
      <c r="F4878" s="19"/>
      <c r="G4878" s="19"/>
      <c r="H4878" s="19"/>
      <c r="I4878" s="19"/>
      <c r="J4878" s="19"/>
      <c r="K4878" s="19"/>
      <c r="L4878" s="19"/>
      <c r="M4878" s="20"/>
    </row>
    <row r="4879" spans="1:13" x14ac:dyDescent="0.35">
      <c r="A4879" s="82"/>
      <c r="B4879" s="19"/>
      <c r="C4879" s="19"/>
      <c r="D4879" s="19"/>
      <c r="E4879" s="19"/>
      <c r="F4879" s="19"/>
      <c r="G4879" s="19"/>
      <c r="H4879" s="19"/>
      <c r="I4879" s="19"/>
      <c r="J4879" s="19"/>
      <c r="K4879" s="19"/>
      <c r="L4879" s="19"/>
      <c r="M4879" s="20"/>
    </row>
    <row r="4880" spans="1:13" x14ac:dyDescent="0.35">
      <c r="A4880" s="81"/>
      <c r="B4880" s="17"/>
      <c r="C4880" s="17"/>
      <c r="D4880" s="17"/>
      <c r="E4880" s="17"/>
      <c r="F4880" s="17"/>
      <c r="G4880" s="17"/>
      <c r="H4880" s="17"/>
      <c r="I4880" s="17"/>
      <c r="J4880" s="17"/>
      <c r="K4880" s="17"/>
      <c r="L4880" s="17"/>
      <c r="M4880" s="20"/>
    </row>
    <row r="4881" spans="1:13" x14ac:dyDescent="0.35">
      <c r="A4881" s="82"/>
      <c r="B4881" s="19"/>
      <c r="C4881" s="19"/>
      <c r="D4881" s="19"/>
      <c r="E4881" s="19"/>
      <c r="F4881" s="19"/>
      <c r="G4881" s="19"/>
      <c r="H4881" s="19"/>
      <c r="I4881" s="19"/>
      <c r="J4881" s="19"/>
      <c r="K4881" s="19"/>
      <c r="L4881" s="19"/>
      <c r="M4881" s="20"/>
    </row>
    <row r="4882" spans="1:13" x14ac:dyDescent="0.35">
      <c r="A4882" s="81"/>
      <c r="B4882" s="17"/>
      <c r="C4882" s="17"/>
      <c r="D4882" s="17"/>
      <c r="E4882" s="17"/>
      <c r="F4882" s="17"/>
      <c r="G4882" s="17"/>
      <c r="H4882" s="17"/>
      <c r="I4882" s="17"/>
      <c r="J4882" s="17"/>
      <c r="K4882" s="17"/>
      <c r="L4882" s="17"/>
      <c r="M4882" s="20"/>
    </row>
    <row r="4883" spans="1:13" x14ac:dyDescent="0.35">
      <c r="A4883" s="81"/>
      <c r="B4883" s="17"/>
      <c r="C4883" s="17"/>
      <c r="D4883" s="17"/>
      <c r="E4883" s="17"/>
      <c r="F4883" s="17"/>
      <c r="G4883" s="17"/>
      <c r="H4883" s="17"/>
      <c r="I4883" s="17"/>
      <c r="J4883" s="17"/>
      <c r="K4883" s="17"/>
      <c r="L4883" s="17"/>
      <c r="M4883" s="20"/>
    </row>
    <row r="4884" spans="1:13" x14ac:dyDescent="0.35">
      <c r="A4884" s="81"/>
      <c r="B4884" s="17"/>
      <c r="C4884" s="17"/>
      <c r="D4884" s="17"/>
      <c r="E4884" s="17"/>
      <c r="F4884" s="17"/>
      <c r="G4884" s="17"/>
      <c r="H4884" s="17"/>
      <c r="I4884" s="17"/>
      <c r="J4884" s="17"/>
      <c r="K4884" s="17"/>
      <c r="L4884" s="17"/>
      <c r="M4884" s="18"/>
    </row>
    <row r="4885" spans="1:13" x14ac:dyDescent="0.35">
      <c r="A4885" s="81"/>
      <c r="B4885" s="17"/>
      <c r="C4885" s="17"/>
      <c r="D4885" s="17"/>
      <c r="E4885" s="17"/>
      <c r="F4885" s="17"/>
      <c r="G4885" s="17"/>
      <c r="H4885" s="17"/>
      <c r="I4885" s="17"/>
      <c r="J4885" s="17"/>
      <c r="K4885" s="17"/>
      <c r="L4885" s="17"/>
      <c r="M4885" s="18"/>
    </row>
    <row r="4886" spans="1:13" x14ac:dyDescent="0.35">
      <c r="A4886" s="81"/>
      <c r="B4886" s="17"/>
      <c r="C4886" s="17"/>
      <c r="D4886" s="17"/>
      <c r="E4886" s="17"/>
      <c r="F4886" s="17"/>
      <c r="G4886" s="17"/>
      <c r="H4886" s="17"/>
      <c r="I4886" s="17"/>
      <c r="J4886" s="17"/>
      <c r="K4886" s="17"/>
      <c r="L4886" s="17"/>
      <c r="M4886" s="18"/>
    </row>
    <row r="4887" spans="1:13" x14ac:dyDescent="0.35">
      <c r="A4887" s="81"/>
      <c r="B4887" s="17"/>
      <c r="C4887" s="17"/>
      <c r="D4887" s="17"/>
      <c r="E4887" s="17"/>
      <c r="F4887" s="17"/>
      <c r="G4887" s="17"/>
      <c r="H4887" s="17"/>
      <c r="I4887" s="17"/>
      <c r="J4887" s="17"/>
      <c r="K4887" s="17"/>
      <c r="L4887" s="17"/>
      <c r="M4887" s="18"/>
    </row>
    <row r="4888" spans="1:13" x14ac:dyDescent="0.35">
      <c r="A4888" s="81"/>
      <c r="B4888" s="17"/>
      <c r="C4888" s="17"/>
      <c r="D4888" s="17"/>
      <c r="E4888" s="17"/>
      <c r="F4888" s="17"/>
      <c r="G4888" s="17"/>
      <c r="H4888" s="17"/>
      <c r="I4888" s="17"/>
      <c r="J4888" s="17"/>
      <c r="K4888" s="17"/>
      <c r="L4888" s="17"/>
      <c r="M4888" s="18"/>
    </row>
    <row r="4889" spans="1:13" x14ac:dyDescent="0.35">
      <c r="A4889" s="81"/>
      <c r="B4889" s="17"/>
      <c r="C4889" s="17"/>
      <c r="D4889" s="17"/>
      <c r="E4889" s="17"/>
      <c r="F4889" s="17"/>
      <c r="G4889" s="17"/>
      <c r="H4889" s="17"/>
      <c r="I4889" s="17"/>
      <c r="J4889" s="17"/>
      <c r="K4889" s="17"/>
      <c r="L4889" s="17"/>
      <c r="M4889" s="18"/>
    </row>
    <row r="4890" spans="1:13" x14ac:dyDescent="0.35">
      <c r="A4890" s="82"/>
      <c r="B4890" s="19"/>
      <c r="C4890" s="19"/>
      <c r="D4890" s="19"/>
      <c r="E4890" s="19"/>
      <c r="F4890" s="19"/>
      <c r="G4890" s="19"/>
      <c r="H4890" s="19"/>
      <c r="I4890" s="19"/>
      <c r="J4890" s="19"/>
      <c r="K4890" s="19"/>
      <c r="L4890" s="19"/>
      <c r="M4890" s="20"/>
    </row>
    <row r="4891" spans="1:13" x14ac:dyDescent="0.35">
      <c r="A4891" s="82"/>
      <c r="B4891" s="19"/>
      <c r="C4891" s="19"/>
      <c r="D4891" s="19"/>
      <c r="E4891" s="19"/>
      <c r="F4891" s="19"/>
      <c r="G4891" s="19"/>
      <c r="H4891" s="19"/>
      <c r="I4891" s="19"/>
      <c r="J4891" s="19"/>
      <c r="K4891" s="19"/>
      <c r="L4891" s="19"/>
      <c r="M4891" s="20"/>
    </row>
    <row r="4892" spans="1:13" x14ac:dyDescent="0.35">
      <c r="A4892" s="82"/>
      <c r="B4892" s="19"/>
      <c r="C4892" s="19"/>
      <c r="D4892" s="19"/>
      <c r="E4892" s="19"/>
      <c r="F4892" s="19"/>
      <c r="G4892" s="19"/>
      <c r="H4892" s="19"/>
      <c r="I4892" s="19"/>
      <c r="J4892" s="19"/>
      <c r="K4892" s="19"/>
      <c r="L4892" s="19"/>
      <c r="M4892" s="20"/>
    </row>
    <row r="4893" spans="1:13" x14ac:dyDescent="0.35">
      <c r="A4893" s="85"/>
      <c r="B4893" s="23"/>
      <c r="C4893" s="23"/>
      <c r="D4893" s="23"/>
      <c r="E4893" s="23"/>
      <c r="F4893" s="23"/>
      <c r="G4893" s="23"/>
      <c r="H4893" s="23"/>
      <c r="I4893" s="23"/>
      <c r="J4893" s="23"/>
      <c r="K4893" s="23"/>
      <c r="L4893" s="23"/>
      <c r="M4893" s="24"/>
    </row>
    <row r="4894" spans="1:13" x14ac:dyDescent="0.35">
      <c r="A4894" s="86"/>
      <c r="B4894" s="21"/>
      <c r="C4894" s="21"/>
      <c r="D4894" s="21"/>
      <c r="E4894" s="21"/>
      <c r="F4894" s="21"/>
      <c r="G4894" s="21"/>
      <c r="H4894" s="21"/>
      <c r="I4894" s="21"/>
      <c r="J4894" s="21"/>
      <c r="K4894" s="21"/>
      <c r="L4894" s="21"/>
      <c r="M4894" s="22"/>
    </row>
    <row r="4895" spans="1:13" x14ac:dyDescent="0.35">
      <c r="A4895" s="86"/>
      <c r="B4895" s="21"/>
      <c r="C4895" s="21"/>
      <c r="D4895" s="21"/>
      <c r="E4895" s="21"/>
      <c r="F4895" s="21"/>
      <c r="G4895" s="21"/>
      <c r="H4895" s="21"/>
      <c r="I4895" s="21"/>
      <c r="J4895" s="21"/>
      <c r="K4895" s="21"/>
      <c r="L4895" s="21"/>
      <c r="M4895" s="22"/>
    </row>
    <row r="4896" spans="1:13" x14ac:dyDescent="0.35">
      <c r="A4896" s="85"/>
      <c r="B4896" s="23"/>
      <c r="C4896" s="23"/>
      <c r="D4896" s="23"/>
      <c r="E4896" s="23"/>
      <c r="F4896" s="23"/>
      <c r="G4896" s="23"/>
      <c r="H4896" s="23"/>
      <c r="I4896" s="23"/>
      <c r="J4896" s="23"/>
      <c r="K4896" s="23"/>
      <c r="L4896" s="23"/>
      <c r="M4896" s="24"/>
    </row>
    <row r="4897" spans="1:13" x14ac:dyDescent="0.35">
      <c r="A4897" s="85"/>
      <c r="B4897" s="23"/>
      <c r="C4897" s="23"/>
      <c r="D4897" s="23"/>
      <c r="E4897" s="23"/>
      <c r="F4897" s="23"/>
      <c r="G4897" s="23"/>
      <c r="H4897" s="23"/>
      <c r="I4897" s="23"/>
      <c r="J4897" s="23"/>
      <c r="K4897" s="23"/>
      <c r="L4897" s="23"/>
      <c r="M4897" s="24"/>
    </row>
    <row r="4898" spans="1:13" x14ac:dyDescent="0.35">
      <c r="A4898" s="85"/>
      <c r="B4898" s="23"/>
      <c r="C4898" s="23"/>
      <c r="D4898" s="23"/>
      <c r="E4898" s="23"/>
      <c r="F4898" s="23"/>
      <c r="G4898" s="23"/>
      <c r="H4898" s="23"/>
      <c r="I4898" s="23"/>
      <c r="J4898" s="23"/>
      <c r="K4898" s="23"/>
      <c r="L4898" s="23"/>
      <c r="M4898" s="24"/>
    </row>
    <row r="4899" spans="1:13" x14ac:dyDescent="0.35">
      <c r="A4899" s="86"/>
      <c r="B4899" s="21"/>
      <c r="C4899" s="21"/>
      <c r="D4899" s="21"/>
      <c r="E4899" s="21"/>
      <c r="F4899" s="21"/>
      <c r="G4899" s="21"/>
      <c r="H4899" s="21"/>
      <c r="I4899" s="21"/>
      <c r="J4899" s="21"/>
      <c r="K4899" s="21"/>
      <c r="L4899" s="21"/>
      <c r="M4899" s="22"/>
    </row>
    <row r="4900" spans="1:13" x14ac:dyDescent="0.35">
      <c r="A4900" s="86"/>
      <c r="B4900" s="21"/>
      <c r="C4900" s="21"/>
      <c r="D4900" s="21"/>
      <c r="E4900" s="21"/>
      <c r="F4900" s="21"/>
      <c r="G4900" s="21"/>
      <c r="H4900" s="21"/>
      <c r="I4900" s="21"/>
      <c r="J4900" s="21"/>
      <c r="K4900" s="21"/>
      <c r="L4900" s="21"/>
      <c r="M4900" s="22"/>
    </row>
    <row r="4901" spans="1:13" x14ac:dyDescent="0.35">
      <c r="A4901" s="82"/>
      <c r="B4901" s="19"/>
      <c r="C4901" s="19"/>
      <c r="D4901" s="19"/>
      <c r="E4901" s="19"/>
      <c r="F4901" s="19"/>
      <c r="G4901" s="19"/>
      <c r="H4901" s="19"/>
      <c r="I4901" s="19"/>
      <c r="J4901" s="19"/>
      <c r="K4901" s="19"/>
      <c r="L4901" s="19"/>
      <c r="M4901" s="20"/>
    </row>
    <row r="4902" spans="1:13" x14ac:dyDescent="0.35">
      <c r="A4902" s="85"/>
      <c r="B4902" s="23"/>
      <c r="C4902" s="23"/>
      <c r="D4902" s="23"/>
      <c r="E4902" s="23"/>
      <c r="F4902" s="23"/>
      <c r="G4902" s="23"/>
      <c r="H4902" s="23"/>
      <c r="I4902" s="23"/>
      <c r="J4902" s="23"/>
      <c r="K4902" s="23"/>
      <c r="L4902" s="23"/>
      <c r="M4902" s="24"/>
    </row>
    <row r="4903" spans="1:13" x14ac:dyDescent="0.35">
      <c r="A4903" s="86"/>
      <c r="B4903" s="21"/>
      <c r="C4903" s="21"/>
      <c r="D4903" s="21"/>
      <c r="E4903" s="21"/>
      <c r="F4903" s="21"/>
      <c r="G4903" s="21"/>
      <c r="H4903" s="21"/>
      <c r="I4903" s="21"/>
      <c r="J4903" s="21"/>
      <c r="K4903" s="21"/>
      <c r="L4903" s="21"/>
      <c r="M4903" s="22"/>
    </row>
    <row r="4904" spans="1:13" x14ac:dyDescent="0.35">
      <c r="A4904" s="85"/>
      <c r="B4904" s="23"/>
      <c r="C4904" s="23"/>
      <c r="D4904" s="23"/>
      <c r="E4904" s="23"/>
      <c r="F4904" s="23"/>
      <c r="G4904" s="23"/>
      <c r="H4904" s="23"/>
      <c r="I4904" s="23"/>
      <c r="J4904" s="23"/>
      <c r="K4904" s="23"/>
      <c r="L4904" s="23"/>
      <c r="M4904" s="24"/>
    </row>
    <row r="4905" spans="1:13" x14ac:dyDescent="0.35">
      <c r="A4905" s="82"/>
      <c r="B4905" s="19"/>
      <c r="C4905" s="19"/>
      <c r="D4905" s="19"/>
      <c r="E4905" s="19"/>
      <c r="F4905" s="19"/>
      <c r="G4905" s="19"/>
      <c r="H4905" s="19"/>
      <c r="I4905" s="19"/>
      <c r="J4905" s="19"/>
      <c r="K4905" s="19"/>
      <c r="L4905" s="19"/>
      <c r="M4905" s="20"/>
    </row>
    <row r="4906" spans="1:13" x14ac:dyDescent="0.35">
      <c r="A4906" s="82"/>
      <c r="B4906" s="19"/>
      <c r="C4906" s="19"/>
      <c r="D4906" s="19"/>
      <c r="E4906" s="19"/>
      <c r="F4906" s="19"/>
      <c r="G4906" s="19"/>
      <c r="H4906" s="19"/>
      <c r="I4906" s="19"/>
      <c r="J4906" s="19"/>
      <c r="K4906" s="19"/>
      <c r="L4906" s="19"/>
      <c r="M4906" s="20"/>
    </row>
    <row r="4907" spans="1:13" x14ac:dyDescent="0.35">
      <c r="A4907" s="86"/>
      <c r="B4907" s="21"/>
      <c r="C4907" s="21"/>
      <c r="D4907" s="21"/>
      <c r="E4907" s="21"/>
      <c r="F4907" s="21"/>
      <c r="G4907" s="21"/>
      <c r="H4907" s="21"/>
      <c r="I4907" s="21"/>
      <c r="J4907" s="21"/>
      <c r="K4907" s="21"/>
      <c r="L4907" s="21"/>
      <c r="M4907" s="22"/>
    </row>
    <row r="4908" spans="1:13" x14ac:dyDescent="0.35">
      <c r="A4908" s="86"/>
      <c r="B4908" s="21"/>
      <c r="C4908" s="21"/>
      <c r="D4908" s="21"/>
      <c r="E4908" s="21"/>
      <c r="F4908" s="21"/>
      <c r="G4908" s="21"/>
      <c r="H4908" s="21"/>
      <c r="I4908" s="21"/>
      <c r="J4908" s="21"/>
      <c r="K4908" s="21"/>
      <c r="L4908" s="21"/>
      <c r="M4908" s="22"/>
    </row>
    <row r="4909" spans="1:13" x14ac:dyDescent="0.35">
      <c r="A4909" s="85"/>
      <c r="B4909" s="23"/>
      <c r="C4909" s="23"/>
      <c r="D4909" s="23"/>
      <c r="E4909" s="23"/>
      <c r="F4909" s="23"/>
      <c r="G4909" s="23"/>
      <c r="H4909" s="23"/>
      <c r="I4909" s="23"/>
      <c r="J4909" s="23"/>
      <c r="K4909" s="23"/>
      <c r="L4909" s="23"/>
      <c r="M4909" s="24"/>
    </row>
    <row r="4910" spans="1:13" x14ac:dyDescent="0.35">
      <c r="A4910" s="85"/>
      <c r="B4910" s="23"/>
      <c r="C4910" s="23"/>
      <c r="D4910" s="23"/>
      <c r="E4910" s="23"/>
      <c r="F4910" s="23"/>
      <c r="G4910" s="23"/>
      <c r="H4910" s="23"/>
      <c r="I4910" s="23"/>
      <c r="J4910" s="23"/>
      <c r="K4910" s="23"/>
      <c r="L4910" s="23"/>
      <c r="M4910" s="24"/>
    </row>
    <row r="4911" spans="1:13" x14ac:dyDescent="0.35">
      <c r="A4911" s="82"/>
      <c r="B4911" s="19"/>
      <c r="C4911" s="19"/>
      <c r="D4911" s="19"/>
      <c r="E4911" s="19"/>
      <c r="F4911" s="19"/>
      <c r="G4911" s="19"/>
      <c r="H4911" s="19"/>
      <c r="I4911" s="19"/>
      <c r="J4911" s="19"/>
      <c r="K4911" s="19"/>
      <c r="L4911" s="19"/>
      <c r="M4911" s="20"/>
    </row>
    <row r="4912" spans="1:13" x14ac:dyDescent="0.35">
      <c r="A4912" s="82"/>
      <c r="B4912" s="19"/>
      <c r="C4912" s="19"/>
      <c r="D4912" s="19"/>
      <c r="E4912" s="19"/>
      <c r="F4912" s="19"/>
      <c r="G4912" s="19"/>
      <c r="H4912" s="19"/>
      <c r="I4912" s="19"/>
      <c r="J4912" s="19"/>
      <c r="K4912" s="19"/>
      <c r="L4912" s="19"/>
      <c r="M4912" s="20"/>
    </row>
    <row r="4913" spans="1:13" x14ac:dyDescent="0.35">
      <c r="A4913" s="82"/>
      <c r="B4913" s="19"/>
      <c r="C4913" s="19"/>
      <c r="D4913" s="19"/>
      <c r="E4913" s="19"/>
      <c r="F4913" s="19"/>
      <c r="G4913" s="19"/>
      <c r="H4913" s="19"/>
      <c r="I4913" s="19"/>
      <c r="J4913" s="19"/>
      <c r="K4913" s="19"/>
      <c r="L4913" s="19"/>
      <c r="M4913" s="20"/>
    </row>
    <row r="4914" spans="1:13" x14ac:dyDescent="0.35">
      <c r="A4914" s="82"/>
      <c r="B4914" s="19"/>
      <c r="C4914" s="19"/>
      <c r="D4914" s="19"/>
      <c r="E4914" s="19"/>
      <c r="F4914" s="19"/>
      <c r="G4914" s="19"/>
      <c r="H4914" s="19"/>
      <c r="I4914" s="19"/>
      <c r="J4914" s="19"/>
      <c r="K4914" s="19"/>
      <c r="L4914" s="19"/>
      <c r="M4914" s="20"/>
    </row>
    <row r="4915" spans="1:13" x14ac:dyDescent="0.35">
      <c r="A4915" s="82"/>
      <c r="B4915" s="19"/>
      <c r="C4915" s="19"/>
      <c r="D4915" s="19"/>
      <c r="E4915" s="19"/>
      <c r="F4915" s="19"/>
      <c r="G4915" s="19"/>
      <c r="H4915" s="19"/>
      <c r="I4915" s="19"/>
      <c r="J4915" s="19"/>
      <c r="K4915" s="19"/>
      <c r="L4915" s="19"/>
      <c r="M4915" s="20"/>
    </row>
    <row r="4916" spans="1:13" x14ac:dyDescent="0.35">
      <c r="A4916" s="81"/>
      <c r="B4916" s="17"/>
      <c r="C4916" s="17"/>
      <c r="D4916" s="17"/>
      <c r="E4916" s="17"/>
      <c r="F4916" s="17"/>
      <c r="G4916" s="17"/>
      <c r="H4916" s="17"/>
      <c r="I4916" s="17"/>
      <c r="J4916" s="17"/>
      <c r="K4916" s="17"/>
      <c r="L4916" s="17"/>
      <c r="M4916" s="18"/>
    </row>
    <row r="4917" spans="1:13" x14ac:dyDescent="0.35">
      <c r="A4917" s="81"/>
      <c r="B4917" s="17"/>
      <c r="C4917" s="17"/>
      <c r="D4917" s="17"/>
      <c r="E4917" s="17"/>
      <c r="F4917" s="17"/>
      <c r="G4917" s="17"/>
      <c r="H4917" s="17"/>
      <c r="I4917" s="17"/>
      <c r="J4917" s="17"/>
      <c r="K4917" s="17"/>
      <c r="L4917" s="17"/>
      <c r="M4917" s="18"/>
    </row>
    <row r="4918" spans="1:13" x14ac:dyDescent="0.35">
      <c r="A4918" s="82"/>
      <c r="B4918" s="19"/>
      <c r="C4918" s="19"/>
      <c r="D4918" s="19"/>
      <c r="E4918" s="19"/>
      <c r="F4918" s="19"/>
      <c r="G4918" s="19"/>
      <c r="H4918" s="19"/>
      <c r="I4918" s="19"/>
      <c r="J4918" s="19"/>
      <c r="K4918" s="19"/>
      <c r="L4918" s="19"/>
      <c r="M4918" s="20"/>
    </row>
    <row r="4919" spans="1:13" x14ac:dyDescent="0.35">
      <c r="A4919" s="82"/>
      <c r="B4919" s="19"/>
      <c r="C4919" s="19"/>
      <c r="D4919" s="19"/>
      <c r="E4919" s="19"/>
      <c r="F4919" s="19"/>
      <c r="G4919" s="19"/>
      <c r="H4919" s="19"/>
      <c r="I4919" s="19"/>
      <c r="J4919" s="19"/>
      <c r="K4919" s="19"/>
      <c r="L4919" s="19"/>
      <c r="M4919" s="20"/>
    </row>
    <row r="4920" spans="1:13" x14ac:dyDescent="0.35">
      <c r="A4920" s="82"/>
      <c r="B4920" s="19"/>
      <c r="C4920" s="19"/>
      <c r="D4920" s="19"/>
      <c r="E4920" s="19"/>
      <c r="F4920" s="19"/>
      <c r="G4920" s="19"/>
      <c r="H4920" s="19"/>
      <c r="I4920" s="19"/>
      <c r="J4920" s="19"/>
      <c r="K4920" s="19"/>
      <c r="L4920" s="19"/>
      <c r="M4920" s="20"/>
    </row>
    <row r="4921" spans="1:13" x14ac:dyDescent="0.35">
      <c r="A4921" s="82"/>
      <c r="B4921" s="19"/>
      <c r="C4921" s="19"/>
      <c r="D4921" s="19"/>
      <c r="E4921" s="19"/>
      <c r="F4921" s="19"/>
      <c r="G4921" s="19"/>
      <c r="H4921" s="19"/>
      <c r="I4921" s="19"/>
      <c r="J4921" s="19"/>
      <c r="K4921" s="19"/>
      <c r="L4921" s="19"/>
      <c r="M4921" s="20"/>
    </row>
    <row r="4922" spans="1:13" x14ac:dyDescent="0.35">
      <c r="A4922" s="81"/>
      <c r="B4922" s="17"/>
      <c r="C4922" s="17"/>
      <c r="D4922" s="17"/>
      <c r="E4922" s="17"/>
      <c r="F4922" s="17"/>
      <c r="G4922" s="17"/>
      <c r="H4922" s="17"/>
      <c r="I4922" s="17"/>
      <c r="J4922" s="17"/>
      <c r="K4922" s="17"/>
      <c r="L4922" s="17"/>
      <c r="M4922" s="18"/>
    </row>
    <row r="4923" spans="1:13" x14ac:dyDescent="0.35">
      <c r="A4923" s="81"/>
      <c r="B4923" s="17"/>
      <c r="C4923" s="17"/>
      <c r="D4923" s="17"/>
      <c r="E4923" s="17"/>
      <c r="F4923" s="17"/>
      <c r="G4923" s="17"/>
      <c r="H4923" s="17"/>
      <c r="I4923" s="17"/>
      <c r="J4923" s="17"/>
      <c r="K4923" s="17"/>
      <c r="L4923" s="17"/>
      <c r="M4923" s="18"/>
    </row>
    <row r="4924" spans="1:13" x14ac:dyDescent="0.35">
      <c r="A4924" s="81"/>
      <c r="B4924" s="17"/>
      <c r="C4924" s="17"/>
      <c r="D4924" s="17"/>
      <c r="E4924" s="17"/>
      <c r="F4924" s="17"/>
      <c r="G4924" s="17"/>
      <c r="H4924" s="17"/>
      <c r="I4924" s="17"/>
      <c r="J4924" s="17"/>
      <c r="K4924" s="17"/>
      <c r="L4924" s="17"/>
      <c r="M4924" s="18"/>
    </row>
    <row r="4925" spans="1:13" x14ac:dyDescent="0.35">
      <c r="A4925" s="81"/>
      <c r="B4925" s="17"/>
      <c r="C4925" s="17"/>
      <c r="D4925" s="17"/>
      <c r="E4925" s="17"/>
      <c r="F4925" s="17"/>
      <c r="G4925" s="17"/>
      <c r="H4925" s="17"/>
      <c r="I4925" s="17"/>
      <c r="J4925" s="17"/>
      <c r="K4925" s="17"/>
      <c r="L4925" s="17"/>
      <c r="M4925" s="18"/>
    </row>
    <row r="4926" spans="1:13" x14ac:dyDescent="0.35">
      <c r="A4926" s="81"/>
      <c r="B4926" s="17"/>
      <c r="C4926" s="17"/>
      <c r="D4926" s="17"/>
      <c r="E4926" s="17"/>
      <c r="F4926" s="17"/>
      <c r="G4926" s="17"/>
      <c r="H4926" s="17"/>
      <c r="I4926" s="17"/>
      <c r="J4926" s="17"/>
      <c r="K4926" s="17"/>
      <c r="L4926" s="17"/>
      <c r="M4926" s="18"/>
    </row>
    <row r="4927" spans="1:13" x14ac:dyDescent="0.35">
      <c r="A4927" s="81"/>
      <c r="B4927" s="17"/>
      <c r="C4927" s="17"/>
      <c r="D4927" s="17"/>
      <c r="E4927" s="17"/>
      <c r="F4927" s="17"/>
      <c r="G4927" s="17"/>
      <c r="H4927" s="17"/>
      <c r="I4927" s="17"/>
      <c r="J4927" s="17"/>
      <c r="K4927" s="17"/>
      <c r="L4927" s="17"/>
      <c r="M4927" s="18"/>
    </row>
    <row r="4928" spans="1:13" x14ac:dyDescent="0.35">
      <c r="A4928" s="85"/>
      <c r="B4928" s="23"/>
      <c r="C4928" s="23"/>
      <c r="D4928" s="23"/>
      <c r="E4928" s="23"/>
      <c r="F4928" s="23"/>
      <c r="G4928" s="23"/>
      <c r="H4928" s="23"/>
      <c r="I4928" s="23"/>
      <c r="J4928" s="23"/>
      <c r="K4928" s="23"/>
      <c r="L4928" s="23"/>
      <c r="M4928" s="24"/>
    </row>
    <row r="4929" spans="1:13" x14ac:dyDescent="0.35">
      <c r="A4929" s="86"/>
      <c r="B4929" s="21"/>
      <c r="C4929" s="21"/>
      <c r="D4929" s="21"/>
      <c r="E4929" s="21"/>
      <c r="F4929" s="21"/>
      <c r="G4929" s="21"/>
      <c r="H4929" s="21"/>
      <c r="I4929" s="21"/>
      <c r="J4929" s="21"/>
      <c r="K4929" s="21"/>
      <c r="L4929" s="21"/>
      <c r="M4929" s="22"/>
    </row>
    <row r="4930" spans="1:13" x14ac:dyDescent="0.35">
      <c r="A4930" s="85"/>
      <c r="B4930" s="23"/>
      <c r="C4930" s="23"/>
      <c r="D4930" s="23"/>
      <c r="E4930" s="23"/>
      <c r="F4930" s="23"/>
      <c r="G4930" s="23"/>
      <c r="H4930" s="23"/>
      <c r="I4930" s="23"/>
      <c r="J4930" s="23"/>
      <c r="K4930" s="23"/>
      <c r="L4930" s="23"/>
      <c r="M4930" s="24"/>
    </row>
    <row r="4931" spans="1:13" x14ac:dyDescent="0.35">
      <c r="A4931" s="85"/>
      <c r="B4931" s="23"/>
      <c r="C4931" s="23"/>
      <c r="D4931" s="23"/>
      <c r="E4931" s="23"/>
      <c r="F4931" s="23"/>
      <c r="G4931" s="23"/>
      <c r="H4931" s="23"/>
      <c r="I4931" s="23"/>
      <c r="J4931" s="23"/>
      <c r="K4931" s="23"/>
      <c r="L4931" s="23"/>
      <c r="M4931" s="24"/>
    </row>
    <row r="4932" spans="1:13" x14ac:dyDescent="0.35">
      <c r="A4932" s="85"/>
      <c r="B4932" s="23"/>
      <c r="C4932" s="23"/>
      <c r="D4932" s="23"/>
      <c r="E4932" s="23"/>
      <c r="F4932" s="23"/>
      <c r="G4932" s="23"/>
      <c r="H4932" s="23"/>
      <c r="I4932" s="23"/>
      <c r="J4932" s="23"/>
      <c r="K4932" s="23"/>
      <c r="L4932" s="23"/>
      <c r="M4932" s="24"/>
    </row>
    <row r="4933" spans="1:13" x14ac:dyDescent="0.35">
      <c r="A4933" s="85"/>
      <c r="B4933" s="23"/>
      <c r="C4933" s="23"/>
      <c r="D4933" s="23"/>
      <c r="E4933" s="23"/>
      <c r="F4933" s="23"/>
      <c r="G4933" s="23"/>
      <c r="H4933" s="23"/>
      <c r="I4933" s="23"/>
      <c r="J4933" s="23"/>
      <c r="K4933" s="23"/>
      <c r="L4933" s="23"/>
      <c r="M4933" s="24"/>
    </row>
    <row r="4934" spans="1:13" x14ac:dyDescent="0.35">
      <c r="A4934" s="85"/>
      <c r="B4934" s="23"/>
      <c r="C4934" s="23"/>
      <c r="D4934" s="23"/>
      <c r="E4934" s="23"/>
      <c r="F4934" s="23"/>
      <c r="G4934" s="23"/>
      <c r="H4934" s="23"/>
      <c r="I4934" s="23"/>
      <c r="J4934" s="23"/>
      <c r="K4934" s="23"/>
      <c r="L4934" s="23"/>
      <c r="M4934" s="24"/>
    </row>
    <row r="4935" spans="1:13" x14ac:dyDescent="0.35">
      <c r="A4935" s="86"/>
      <c r="B4935" s="21"/>
      <c r="C4935" s="21"/>
      <c r="D4935" s="21"/>
      <c r="E4935" s="21"/>
      <c r="F4935" s="21"/>
      <c r="G4935" s="21"/>
      <c r="H4935" s="21"/>
      <c r="I4935" s="21"/>
      <c r="J4935" s="21"/>
      <c r="K4935" s="21"/>
      <c r="L4935" s="21"/>
      <c r="M4935" s="22"/>
    </row>
    <row r="4936" spans="1:13" x14ac:dyDescent="0.35">
      <c r="A4936" s="82"/>
      <c r="B4936" s="19"/>
      <c r="C4936" s="19"/>
      <c r="D4936" s="19"/>
      <c r="E4936" s="19"/>
      <c r="F4936" s="19"/>
      <c r="G4936" s="19"/>
      <c r="H4936" s="19"/>
      <c r="I4936" s="19"/>
      <c r="J4936" s="19"/>
      <c r="K4936" s="19"/>
      <c r="L4936" s="19"/>
      <c r="M4936" s="20"/>
    </row>
    <row r="4937" spans="1:13" x14ac:dyDescent="0.35">
      <c r="A4937" s="85"/>
      <c r="B4937" s="23"/>
      <c r="C4937" s="23"/>
      <c r="D4937" s="23"/>
      <c r="E4937" s="23"/>
      <c r="F4937" s="23"/>
      <c r="G4937" s="23"/>
      <c r="H4937" s="23"/>
      <c r="I4937" s="23"/>
      <c r="J4937" s="23"/>
      <c r="K4937" s="23"/>
      <c r="L4937" s="23"/>
      <c r="M4937" s="24"/>
    </row>
    <row r="4938" spans="1:13" x14ac:dyDescent="0.35">
      <c r="A4938" s="85"/>
      <c r="B4938" s="23"/>
      <c r="C4938" s="23"/>
      <c r="D4938" s="23"/>
      <c r="E4938" s="23"/>
      <c r="F4938" s="23"/>
      <c r="G4938" s="23"/>
      <c r="H4938" s="23"/>
      <c r="I4938" s="23"/>
      <c r="J4938" s="23"/>
      <c r="K4938" s="23"/>
      <c r="L4938" s="23"/>
      <c r="M4938" s="24"/>
    </row>
    <row r="4939" spans="1:13" x14ac:dyDescent="0.35">
      <c r="A4939" s="86"/>
      <c r="B4939" s="21"/>
      <c r="C4939" s="21"/>
      <c r="D4939" s="21"/>
      <c r="E4939" s="21"/>
      <c r="F4939" s="21"/>
      <c r="G4939" s="21"/>
      <c r="H4939" s="21"/>
      <c r="I4939" s="21"/>
      <c r="J4939" s="21"/>
      <c r="K4939" s="21"/>
      <c r="L4939" s="21"/>
      <c r="M4939" s="22"/>
    </row>
    <row r="4940" spans="1:13" x14ac:dyDescent="0.35">
      <c r="A4940" s="85"/>
      <c r="B4940" s="23"/>
      <c r="C4940" s="23"/>
      <c r="D4940" s="23"/>
      <c r="E4940" s="23"/>
      <c r="F4940" s="23"/>
      <c r="G4940" s="23"/>
      <c r="H4940" s="23"/>
      <c r="I4940" s="23"/>
      <c r="J4940" s="23"/>
      <c r="K4940" s="23"/>
      <c r="L4940" s="23"/>
      <c r="M4940" s="24"/>
    </row>
    <row r="4941" spans="1:13" x14ac:dyDescent="0.35">
      <c r="A4941" s="86"/>
      <c r="B4941" s="21"/>
      <c r="C4941" s="21"/>
      <c r="D4941" s="21"/>
      <c r="E4941" s="21"/>
      <c r="F4941" s="21"/>
      <c r="G4941" s="21"/>
      <c r="H4941" s="21"/>
      <c r="I4941" s="21"/>
      <c r="J4941" s="21"/>
      <c r="K4941" s="21"/>
      <c r="L4941" s="21"/>
      <c r="M4941" s="22"/>
    </row>
    <row r="4942" spans="1:13" x14ac:dyDescent="0.35">
      <c r="A4942" s="82"/>
      <c r="B4942" s="19"/>
      <c r="C4942" s="19"/>
      <c r="D4942" s="19"/>
      <c r="E4942" s="19"/>
      <c r="F4942" s="19"/>
      <c r="G4942" s="19"/>
      <c r="H4942" s="19"/>
      <c r="I4942" s="19"/>
      <c r="J4942" s="19"/>
      <c r="K4942" s="19"/>
      <c r="L4942" s="19"/>
      <c r="M4942" s="20"/>
    </row>
    <row r="4943" spans="1:13" x14ac:dyDescent="0.35">
      <c r="A4943" s="82"/>
      <c r="B4943" s="19"/>
      <c r="C4943" s="19"/>
      <c r="D4943" s="19"/>
      <c r="E4943" s="19"/>
      <c r="F4943" s="19"/>
      <c r="G4943" s="19"/>
      <c r="H4943" s="19"/>
      <c r="I4943" s="19"/>
      <c r="J4943" s="19"/>
      <c r="K4943" s="19"/>
      <c r="L4943" s="19"/>
      <c r="M4943" s="20"/>
    </row>
    <row r="4944" spans="1:13" x14ac:dyDescent="0.35">
      <c r="A4944" s="82"/>
      <c r="B4944" s="19"/>
      <c r="C4944" s="19"/>
      <c r="D4944" s="19"/>
      <c r="E4944" s="19"/>
      <c r="F4944" s="19"/>
      <c r="G4944" s="19"/>
      <c r="H4944" s="19"/>
      <c r="I4944" s="19"/>
      <c r="J4944" s="19"/>
      <c r="K4944" s="19"/>
      <c r="L4944" s="19"/>
      <c r="M4944" s="20"/>
    </row>
    <row r="4945" spans="1:13" x14ac:dyDescent="0.35">
      <c r="A4945" s="82"/>
      <c r="B4945" s="19"/>
      <c r="C4945" s="19"/>
      <c r="D4945" s="19"/>
      <c r="E4945" s="19"/>
      <c r="F4945" s="19"/>
      <c r="G4945" s="19"/>
      <c r="H4945" s="19"/>
      <c r="I4945" s="19"/>
      <c r="J4945" s="19"/>
      <c r="K4945" s="19"/>
      <c r="L4945" s="19"/>
      <c r="M4945" s="20"/>
    </row>
    <row r="4946" spans="1:13" x14ac:dyDescent="0.35">
      <c r="A4946" s="82"/>
      <c r="B4946" s="19"/>
      <c r="C4946" s="19"/>
      <c r="D4946" s="19"/>
      <c r="E4946" s="19"/>
      <c r="F4946" s="19"/>
      <c r="G4946" s="19"/>
      <c r="H4946" s="19"/>
      <c r="I4946" s="19"/>
      <c r="J4946" s="19"/>
      <c r="K4946" s="19"/>
      <c r="L4946" s="19"/>
      <c r="M4946" s="20"/>
    </row>
    <row r="4947" spans="1:13" x14ac:dyDescent="0.35">
      <c r="A4947" s="81"/>
      <c r="B4947" s="17"/>
      <c r="C4947" s="17"/>
      <c r="D4947" s="17"/>
      <c r="E4947" s="17"/>
      <c r="F4947" s="17"/>
      <c r="G4947" s="17"/>
      <c r="H4947" s="17"/>
      <c r="I4947" s="17"/>
      <c r="J4947" s="17"/>
      <c r="K4947" s="17"/>
      <c r="L4947" s="17"/>
      <c r="M4947" s="18"/>
    </row>
    <row r="4948" spans="1:13" x14ac:dyDescent="0.35">
      <c r="A4948" s="81"/>
      <c r="B4948" s="17"/>
      <c r="C4948" s="17"/>
      <c r="D4948" s="17"/>
      <c r="E4948" s="17"/>
      <c r="F4948" s="17"/>
      <c r="G4948" s="17"/>
      <c r="H4948" s="17"/>
      <c r="I4948" s="17"/>
      <c r="J4948" s="17"/>
      <c r="K4948" s="17"/>
      <c r="L4948" s="17"/>
      <c r="M4948" s="18"/>
    </row>
    <row r="4949" spans="1:13" x14ac:dyDescent="0.35">
      <c r="A4949" s="82"/>
      <c r="B4949" s="19"/>
      <c r="C4949" s="19"/>
      <c r="D4949" s="19"/>
      <c r="E4949" s="19"/>
      <c r="F4949" s="19"/>
      <c r="G4949" s="19"/>
      <c r="H4949" s="19"/>
      <c r="I4949" s="19"/>
      <c r="J4949" s="19"/>
      <c r="K4949" s="19"/>
      <c r="L4949" s="19"/>
      <c r="M4949" s="20"/>
    </row>
    <row r="4950" spans="1:13" x14ac:dyDescent="0.35">
      <c r="A4950" s="82"/>
      <c r="B4950" s="19"/>
      <c r="C4950" s="19"/>
      <c r="D4950" s="19"/>
      <c r="E4950" s="19"/>
      <c r="F4950" s="19"/>
      <c r="G4950" s="19"/>
      <c r="H4950" s="19"/>
      <c r="I4950" s="19"/>
      <c r="J4950" s="19"/>
      <c r="K4950" s="19"/>
      <c r="L4950" s="19"/>
      <c r="M4950" s="20"/>
    </row>
    <row r="4951" spans="1:13" x14ac:dyDescent="0.35">
      <c r="A4951" s="82"/>
      <c r="B4951" s="19"/>
      <c r="C4951" s="19"/>
      <c r="D4951" s="19"/>
      <c r="E4951" s="19"/>
      <c r="F4951" s="19"/>
      <c r="G4951" s="19"/>
      <c r="H4951" s="19"/>
      <c r="I4951" s="19"/>
      <c r="J4951" s="19"/>
      <c r="K4951" s="19"/>
      <c r="L4951" s="19"/>
      <c r="M4951" s="20"/>
    </row>
    <row r="4952" spans="1:13" x14ac:dyDescent="0.35">
      <c r="A4952" s="82"/>
      <c r="B4952" s="19"/>
      <c r="C4952" s="19"/>
      <c r="D4952" s="19"/>
      <c r="E4952" s="19"/>
      <c r="F4952" s="19"/>
      <c r="G4952" s="19"/>
      <c r="H4952" s="19"/>
      <c r="I4952" s="19"/>
      <c r="J4952" s="19"/>
      <c r="K4952" s="19"/>
      <c r="L4952" s="19"/>
      <c r="M4952" s="20"/>
    </row>
    <row r="4953" spans="1:13" x14ac:dyDescent="0.35">
      <c r="A4953" s="82"/>
      <c r="B4953" s="19"/>
      <c r="C4953" s="19"/>
      <c r="D4953" s="19"/>
      <c r="E4953" s="19"/>
      <c r="F4953" s="19"/>
      <c r="G4953" s="19"/>
      <c r="H4953" s="19"/>
      <c r="I4953" s="19"/>
      <c r="J4953" s="19"/>
      <c r="K4953" s="19"/>
      <c r="L4953" s="19"/>
      <c r="M4953" s="20"/>
    </row>
    <row r="4954" spans="1:13" x14ac:dyDescent="0.35">
      <c r="A4954" s="82"/>
      <c r="B4954" s="19"/>
      <c r="C4954" s="19"/>
      <c r="D4954" s="19"/>
      <c r="E4954" s="19"/>
      <c r="F4954" s="19"/>
      <c r="G4954" s="19"/>
      <c r="H4954" s="19"/>
      <c r="I4954" s="19"/>
      <c r="J4954" s="19"/>
      <c r="K4954" s="19"/>
      <c r="L4954" s="19"/>
      <c r="M4954" s="20"/>
    </row>
    <row r="4955" spans="1:13" x14ac:dyDescent="0.35">
      <c r="A4955" s="82"/>
      <c r="B4955" s="19"/>
      <c r="C4955" s="19"/>
      <c r="D4955" s="19"/>
      <c r="E4955" s="19"/>
      <c r="F4955" s="19"/>
      <c r="G4955" s="19"/>
      <c r="H4955" s="19"/>
      <c r="I4955" s="19"/>
      <c r="J4955" s="19"/>
      <c r="K4955" s="19"/>
      <c r="L4955" s="19"/>
      <c r="M4955" s="20"/>
    </row>
    <row r="4956" spans="1:13" x14ac:dyDescent="0.35">
      <c r="A4956" s="82"/>
      <c r="B4956" s="19"/>
      <c r="C4956" s="19"/>
      <c r="D4956" s="19"/>
      <c r="E4956" s="19"/>
      <c r="F4956" s="19"/>
      <c r="G4956" s="19"/>
      <c r="H4956" s="19"/>
      <c r="I4956" s="19"/>
      <c r="J4956" s="19"/>
      <c r="K4956" s="19"/>
      <c r="L4956" s="19"/>
      <c r="M4956" s="20"/>
    </row>
    <row r="4957" spans="1:13" x14ac:dyDescent="0.35">
      <c r="A4957" s="81"/>
      <c r="B4957" s="17"/>
      <c r="C4957" s="17"/>
      <c r="D4957" s="17"/>
      <c r="E4957" s="17"/>
      <c r="F4957" s="17"/>
      <c r="G4957" s="17"/>
      <c r="H4957" s="17"/>
      <c r="I4957" s="17"/>
      <c r="J4957" s="17"/>
      <c r="K4957" s="17"/>
      <c r="L4957" s="17"/>
      <c r="M4957" s="18"/>
    </row>
    <row r="4958" spans="1:13" x14ac:dyDescent="0.35">
      <c r="A4958" s="82"/>
      <c r="B4958" s="19"/>
      <c r="C4958" s="19"/>
      <c r="D4958" s="19"/>
      <c r="E4958" s="19"/>
      <c r="F4958" s="19"/>
      <c r="G4958" s="19"/>
      <c r="H4958" s="19"/>
      <c r="I4958" s="19"/>
      <c r="J4958" s="19"/>
      <c r="K4958" s="19"/>
      <c r="L4958" s="19"/>
      <c r="M4958" s="20"/>
    </row>
    <row r="4959" spans="1:13" x14ac:dyDescent="0.35">
      <c r="A4959" s="81"/>
      <c r="B4959" s="17"/>
      <c r="C4959" s="17"/>
      <c r="D4959" s="17"/>
      <c r="E4959" s="17"/>
      <c r="F4959" s="17"/>
      <c r="G4959" s="17"/>
      <c r="H4959" s="17"/>
      <c r="I4959" s="17"/>
      <c r="J4959" s="17"/>
      <c r="K4959" s="17"/>
      <c r="L4959" s="17"/>
      <c r="M4959" s="18"/>
    </row>
    <row r="4960" spans="1:13" x14ac:dyDescent="0.35">
      <c r="A4960" s="82"/>
      <c r="B4960" s="19"/>
      <c r="C4960" s="19"/>
      <c r="D4960" s="19"/>
      <c r="E4960" s="19"/>
      <c r="F4960" s="19"/>
      <c r="G4960" s="19"/>
      <c r="H4960" s="19"/>
      <c r="I4960" s="19"/>
      <c r="J4960" s="19"/>
      <c r="K4960" s="19"/>
      <c r="L4960" s="19"/>
      <c r="M4960" s="20"/>
    </row>
    <row r="4961" spans="1:13" x14ac:dyDescent="0.35">
      <c r="A4961" s="82"/>
      <c r="B4961" s="19"/>
      <c r="C4961" s="19"/>
      <c r="D4961" s="19"/>
      <c r="E4961" s="19"/>
      <c r="F4961" s="19"/>
      <c r="G4961" s="19"/>
      <c r="H4961" s="19"/>
      <c r="I4961" s="19"/>
      <c r="J4961" s="19"/>
      <c r="K4961" s="19"/>
      <c r="L4961" s="19"/>
      <c r="M4961" s="20"/>
    </row>
    <row r="4962" spans="1:13" x14ac:dyDescent="0.35">
      <c r="A4962" s="82"/>
      <c r="B4962" s="19"/>
      <c r="C4962" s="19"/>
      <c r="D4962" s="19"/>
      <c r="E4962" s="19"/>
      <c r="F4962" s="19"/>
      <c r="G4962" s="19"/>
      <c r="H4962" s="19"/>
      <c r="I4962" s="19"/>
      <c r="J4962" s="19"/>
      <c r="K4962" s="19"/>
      <c r="L4962" s="19"/>
      <c r="M4962" s="20"/>
    </row>
    <row r="4963" spans="1:13" x14ac:dyDescent="0.35">
      <c r="A4963" s="82"/>
      <c r="B4963" s="19"/>
      <c r="C4963" s="19"/>
      <c r="D4963" s="19"/>
      <c r="E4963" s="19"/>
      <c r="F4963" s="19"/>
      <c r="G4963" s="19"/>
      <c r="H4963" s="19"/>
      <c r="I4963" s="19"/>
      <c r="J4963" s="19"/>
      <c r="K4963" s="19"/>
      <c r="L4963" s="19"/>
      <c r="M4963" s="20"/>
    </row>
    <row r="4964" spans="1:13" x14ac:dyDescent="0.35">
      <c r="A4964" s="82"/>
      <c r="B4964" s="19"/>
      <c r="C4964" s="19"/>
      <c r="D4964" s="19"/>
      <c r="E4964" s="19"/>
      <c r="F4964" s="19"/>
      <c r="G4964" s="19"/>
      <c r="H4964" s="19"/>
      <c r="I4964" s="19"/>
      <c r="J4964" s="19"/>
      <c r="K4964" s="19"/>
      <c r="L4964" s="19"/>
      <c r="M4964" s="20"/>
    </row>
    <row r="4965" spans="1:13" x14ac:dyDescent="0.35">
      <c r="A4965" s="82"/>
      <c r="B4965" s="19"/>
      <c r="C4965" s="19"/>
      <c r="D4965" s="19"/>
      <c r="E4965" s="19"/>
      <c r="F4965" s="19"/>
      <c r="G4965" s="19"/>
      <c r="H4965" s="19"/>
      <c r="I4965" s="19"/>
      <c r="J4965" s="19"/>
      <c r="K4965" s="19"/>
      <c r="L4965" s="19"/>
      <c r="M4965" s="20"/>
    </row>
    <row r="4966" spans="1:13" x14ac:dyDescent="0.35">
      <c r="A4966" s="82"/>
      <c r="B4966" s="19"/>
      <c r="C4966" s="19"/>
      <c r="D4966" s="19"/>
      <c r="E4966" s="19"/>
      <c r="F4966" s="19"/>
      <c r="G4966" s="19"/>
      <c r="H4966" s="19"/>
      <c r="I4966" s="19"/>
      <c r="J4966" s="19"/>
      <c r="K4966" s="19"/>
      <c r="L4966" s="19"/>
      <c r="M4966" s="20"/>
    </row>
    <row r="4967" spans="1:13" x14ac:dyDescent="0.35">
      <c r="A4967" s="82"/>
      <c r="B4967" s="19"/>
      <c r="C4967" s="19"/>
      <c r="D4967" s="19"/>
      <c r="E4967" s="19"/>
      <c r="F4967" s="19"/>
      <c r="G4967" s="19"/>
      <c r="H4967" s="19"/>
      <c r="I4967" s="19"/>
      <c r="J4967" s="19"/>
      <c r="K4967" s="19"/>
      <c r="L4967" s="19"/>
      <c r="M4967" s="20"/>
    </row>
    <row r="4968" spans="1:13" x14ac:dyDescent="0.35">
      <c r="A4968" s="82"/>
      <c r="B4968" s="19"/>
      <c r="C4968" s="19"/>
      <c r="D4968" s="19"/>
      <c r="E4968" s="19"/>
      <c r="F4968" s="19"/>
      <c r="G4968" s="19"/>
      <c r="H4968" s="19"/>
      <c r="I4968" s="19"/>
      <c r="J4968" s="19"/>
      <c r="K4968" s="19"/>
      <c r="L4968" s="19"/>
      <c r="M4968" s="20"/>
    </row>
    <row r="4969" spans="1:13" x14ac:dyDescent="0.35">
      <c r="A4969" s="82"/>
      <c r="B4969" s="19"/>
      <c r="C4969" s="19"/>
      <c r="D4969" s="19"/>
      <c r="E4969" s="19"/>
      <c r="F4969" s="19"/>
      <c r="G4969" s="19"/>
      <c r="H4969" s="19"/>
      <c r="I4969" s="19"/>
      <c r="J4969" s="19"/>
      <c r="K4969" s="19"/>
      <c r="L4969" s="19"/>
      <c r="M4969" s="20"/>
    </row>
    <row r="4970" spans="1:13" x14ac:dyDescent="0.35">
      <c r="A4970" s="82"/>
      <c r="B4970" s="19"/>
      <c r="C4970" s="19"/>
      <c r="D4970" s="19"/>
      <c r="E4970" s="19"/>
      <c r="F4970" s="19"/>
      <c r="G4970" s="19"/>
      <c r="H4970" s="19"/>
      <c r="I4970" s="19"/>
      <c r="J4970" s="19"/>
      <c r="K4970" s="19"/>
      <c r="L4970" s="19"/>
      <c r="M4970" s="20"/>
    </row>
    <row r="4971" spans="1:13" x14ac:dyDescent="0.35">
      <c r="A4971" s="82"/>
      <c r="B4971" s="19"/>
      <c r="C4971" s="19"/>
      <c r="D4971" s="19"/>
      <c r="E4971" s="19"/>
      <c r="F4971" s="19"/>
      <c r="G4971" s="19"/>
      <c r="H4971" s="19"/>
      <c r="I4971" s="19"/>
      <c r="J4971" s="19"/>
      <c r="K4971" s="19"/>
      <c r="L4971" s="19"/>
      <c r="M4971" s="20"/>
    </row>
    <row r="4972" spans="1:13" x14ac:dyDescent="0.35">
      <c r="A4972" s="81"/>
      <c r="B4972" s="17"/>
      <c r="C4972" s="17"/>
      <c r="D4972" s="17"/>
      <c r="E4972" s="17"/>
      <c r="F4972" s="17"/>
      <c r="G4972" s="17"/>
      <c r="H4972" s="17"/>
      <c r="I4972" s="17"/>
      <c r="J4972" s="17"/>
      <c r="K4972" s="17"/>
      <c r="L4972" s="17"/>
      <c r="M4972" s="20"/>
    </row>
    <row r="4973" spans="1:13" x14ac:dyDescent="0.35">
      <c r="A4973" s="81"/>
      <c r="B4973" s="17"/>
      <c r="C4973" s="17"/>
      <c r="D4973" s="17"/>
      <c r="E4973" s="17"/>
      <c r="F4973" s="17"/>
      <c r="G4973" s="17"/>
      <c r="H4973" s="17"/>
      <c r="I4973" s="17"/>
      <c r="J4973" s="17"/>
      <c r="K4973" s="17"/>
      <c r="L4973" s="17"/>
      <c r="M4973" s="20"/>
    </row>
    <row r="4974" spans="1:13" x14ac:dyDescent="0.35">
      <c r="A4974" s="81"/>
      <c r="B4974" s="17"/>
      <c r="C4974" s="17"/>
      <c r="D4974" s="17"/>
      <c r="E4974" s="17"/>
      <c r="F4974" s="17"/>
      <c r="G4974" s="17"/>
      <c r="H4974" s="17"/>
      <c r="I4974" s="17"/>
      <c r="J4974" s="17"/>
      <c r="K4974" s="17"/>
      <c r="L4974" s="17"/>
      <c r="M4974" s="20"/>
    </row>
    <row r="4975" spans="1:13" x14ac:dyDescent="0.35">
      <c r="A4975" s="82"/>
      <c r="B4975" s="19"/>
      <c r="C4975" s="19"/>
      <c r="D4975" s="19"/>
      <c r="E4975" s="19"/>
      <c r="F4975" s="19"/>
      <c r="G4975" s="19"/>
      <c r="H4975" s="19"/>
      <c r="I4975" s="19"/>
      <c r="J4975" s="19"/>
      <c r="K4975" s="19"/>
      <c r="L4975" s="19"/>
      <c r="M4975" s="20"/>
    </row>
    <row r="4976" spans="1:13" x14ac:dyDescent="0.35">
      <c r="A4976" s="81"/>
      <c r="B4976" s="17"/>
      <c r="C4976" s="17"/>
      <c r="D4976" s="17"/>
      <c r="E4976" s="17"/>
      <c r="F4976" s="17"/>
      <c r="G4976" s="17"/>
      <c r="H4976" s="17"/>
      <c r="I4976" s="17"/>
      <c r="J4976" s="17"/>
      <c r="K4976" s="17"/>
      <c r="L4976" s="17"/>
      <c r="M4976" s="20"/>
    </row>
    <row r="4977" spans="1:13" x14ac:dyDescent="0.35">
      <c r="A4977" s="81"/>
      <c r="B4977" s="17"/>
      <c r="C4977" s="17"/>
      <c r="D4977" s="17"/>
      <c r="E4977" s="17"/>
      <c r="F4977" s="17"/>
      <c r="G4977" s="17"/>
      <c r="H4977" s="17"/>
      <c r="I4977" s="17"/>
      <c r="J4977" s="17"/>
      <c r="K4977" s="17"/>
      <c r="L4977" s="17"/>
      <c r="M4977" s="20"/>
    </row>
    <row r="4978" spans="1:13" x14ac:dyDescent="0.35">
      <c r="A4978" s="81"/>
      <c r="B4978" s="17"/>
      <c r="C4978" s="17"/>
      <c r="D4978" s="17"/>
      <c r="E4978" s="17"/>
      <c r="F4978" s="17"/>
      <c r="G4978" s="17"/>
      <c r="H4978" s="17"/>
      <c r="I4978" s="17"/>
      <c r="J4978" s="17"/>
      <c r="K4978" s="17"/>
      <c r="L4978" s="17"/>
      <c r="M4978" s="20"/>
    </row>
    <row r="4979" spans="1:13" x14ac:dyDescent="0.35">
      <c r="A4979" s="82"/>
      <c r="B4979" s="19"/>
      <c r="C4979" s="19"/>
      <c r="D4979" s="19"/>
      <c r="E4979" s="19"/>
      <c r="F4979" s="19"/>
      <c r="G4979" s="19"/>
      <c r="H4979" s="19"/>
      <c r="I4979" s="19"/>
      <c r="J4979" s="19"/>
      <c r="K4979" s="19"/>
      <c r="L4979" s="19"/>
      <c r="M4979" s="20"/>
    </row>
    <row r="4980" spans="1:13" x14ac:dyDescent="0.35">
      <c r="A4980" s="82"/>
      <c r="B4980" s="19"/>
      <c r="C4980" s="19"/>
      <c r="D4980" s="19"/>
      <c r="E4980" s="19"/>
      <c r="F4980" s="19"/>
      <c r="G4980" s="19"/>
      <c r="H4980" s="19"/>
      <c r="I4980" s="19"/>
      <c r="J4980" s="19"/>
      <c r="K4980" s="19"/>
      <c r="L4980" s="19"/>
      <c r="M4980" s="20"/>
    </row>
    <row r="4981" spans="1:13" x14ac:dyDescent="0.35">
      <c r="A4981" s="82"/>
      <c r="B4981" s="19"/>
      <c r="C4981" s="19"/>
      <c r="D4981" s="19"/>
      <c r="E4981" s="19"/>
      <c r="F4981" s="19"/>
      <c r="G4981" s="19"/>
      <c r="H4981" s="19"/>
      <c r="I4981" s="19"/>
      <c r="J4981" s="19"/>
      <c r="K4981" s="19"/>
      <c r="L4981" s="19"/>
      <c r="M4981" s="20"/>
    </row>
    <row r="4982" spans="1:13" x14ac:dyDescent="0.35">
      <c r="A4982" s="81"/>
      <c r="B4982" s="17"/>
      <c r="C4982" s="17"/>
      <c r="D4982" s="17"/>
      <c r="E4982" s="17"/>
      <c r="F4982" s="17"/>
      <c r="G4982" s="17"/>
      <c r="H4982" s="17"/>
      <c r="I4982" s="17"/>
      <c r="J4982" s="17"/>
      <c r="K4982" s="17"/>
      <c r="L4982" s="17"/>
      <c r="M4982" s="18"/>
    </row>
    <row r="4983" spans="1:13" x14ac:dyDescent="0.35">
      <c r="A4983" s="82"/>
      <c r="B4983" s="19"/>
      <c r="C4983" s="19"/>
      <c r="D4983" s="19"/>
      <c r="E4983" s="19"/>
      <c r="F4983" s="19"/>
      <c r="G4983" s="19"/>
      <c r="H4983" s="19"/>
      <c r="I4983" s="19"/>
      <c r="J4983" s="19"/>
      <c r="K4983" s="19"/>
      <c r="L4983" s="19"/>
      <c r="M4983" s="20"/>
    </row>
    <row r="4984" spans="1:13" x14ac:dyDescent="0.35">
      <c r="A4984" s="82"/>
      <c r="B4984" s="19"/>
      <c r="C4984" s="19"/>
      <c r="D4984" s="19"/>
      <c r="E4984" s="19"/>
      <c r="F4984" s="19"/>
      <c r="G4984" s="19"/>
      <c r="H4984" s="19"/>
      <c r="I4984" s="19"/>
      <c r="J4984" s="19"/>
      <c r="K4984" s="19"/>
      <c r="L4984" s="19"/>
      <c r="M4984" s="20"/>
    </row>
    <row r="4985" spans="1:13" x14ac:dyDescent="0.35">
      <c r="A4985" s="82"/>
      <c r="B4985" s="19"/>
      <c r="C4985" s="19"/>
      <c r="D4985" s="19"/>
      <c r="E4985" s="19"/>
      <c r="F4985" s="19"/>
      <c r="G4985" s="19"/>
      <c r="H4985" s="19"/>
      <c r="I4985" s="19"/>
      <c r="J4985" s="19"/>
      <c r="K4985" s="19"/>
      <c r="L4985" s="19"/>
      <c r="M4985" s="20"/>
    </row>
    <row r="4986" spans="1:13" x14ac:dyDescent="0.35">
      <c r="A4986" s="81"/>
      <c r="B4986" s="17"/>
      <c r="C4986" s="17"/>
      <c r="D4986" s="17"/>
      <c r="E4986" s="17"/>
      <c r="F4986" s="17"/>
      <c r="G4986" s="17"/>
      <c r="H4986" s="17"/>
      <c r="I4986" s="17"/>
      <c r="J4986" s="17"/>
      <c r="K4986" s="17"/>
      <c r="L4986" s="17"/>
      <c r="M4986" s="18"/>
    </row>
    <row r="4987" spans="1:13" x14ac:dyDescent="0.35">
      <c r="A4987" s="82"/>
      <c r="B4987" s="19"/>
      <c r="C4987" s="19"/>
      <c r="D4987" s="19"/>
      <c r="E4987" s="19"/>
      <c r="F4987" s="19"/>
      <c r="G4987" s="19"/>
      <c r="H4987" s="19"/>
      <c r="I4987" s="19"/>
      <c r="J4987" s="19"/>
      <c r="K4987" s="19"/>
      <c r="L4987" s="19"/>
      <c r="M4987" s="20"/>
    </row>
    <row r="4988" spans="1:13" x14ac:dyDescent="0.35">
      <c r="A4988" s="82"/>
      <c r="B4988" s="19"/>
      <c r="C4988" s="19"/>
      <c r="D4988" s="19"/>
      <c r="E4988" s="19"/>
      <c r="F4988" s="19"/>
      <c r="G4988" s="19"/>
      <c r="H4988" s="19"/>
      <c r="I4988" s="19"/>
      <c r="J4988" s="19"/>
      <c r="K4988" s="19"/>
      <c r="L4988" s="19"/>
      <c r="M4988" s="20"/>
    </row>
    <row r="4989" spans="1:13" x14ac:dyDescent="0.35">
      <c r="A4989" s="81"/>
      <c r="B4989" s="17"/>
      <c r="C4989" s="17"/>
      <c r="D4989" s="17"/>
      <c r="E4989" s="17"/>
      <c r="F4989" s="17"/>
      <c r="G4989" s="17"/>
      <c r="H4989" s="17"/>
      <c r="I4989" s="17"/>
      <c r="J4989" s="17"/>
      <c r="K4989" s="17"/>
      <c r="L4989" s="17"/>
      <c r="M4989" s="18"/>
    </row>
    <row r="4990" spans="1:13" x14ac:dyDescent="0.35">
      <c r="A4990" s="81"/>
      <c r="B4990" s="17"/>
      <c r="C4990" s="17"/>
      <c r="D4990" s="17"/>
      <c r="E4990" s="17"/>
      <c r="F4990" s="17"/>
      <c r="G4990" s="17"/>
      <c r="H4990" s="17"/>
      <c r="I4990" s="17"/>
      <c r="J4990" s="17"/>
      <c r="K4990" s="17"/>
      <c r="L4990" s="17"/>
      <c r="M4990" s="18"/>
    </row>
    <row r="4991" spans="1:13" x14ac:dyDescent="0.35">
      <c r="A4991" s="82"/>
      <c r="B4991" s="19"/>
      <c r="C4991" s="19"/>
      <c r="D4991" s="19"/>
      <c r="E4991" s="19"/>
      <c r="F4991" s="19"/>
      <c r="G4991" s="19"/>
      <c r="H4991" s="19"/>
      <c r="I4991" s="19"/>
      <c r="J4991" s="19"/>
      <c r="K4991" s="19"/>
      <c r="L4991" s="19"/>
      <c r="M4991" s="20"/>
    </row>
    <row r="4992" spans="1:13" x14ac:dyDescent="0.35">
      <c r="A4992" s="81"/>
      <c r="B4992" s="17"/>
      <c r="C4992" s="17"/>
      <c r="D4992" s="17"/>
      <c r="E4992" s="17"/>
      <c r="F4992" s="17"/>
      <c r="G4992" s="17"/>
      <c r="H4992" s="17"/>
      <c r="I4992" s="17"/>
      <c r="J4992" s="17"/>
      <c r="K4992" s="17"/>
      <c r="L4992" s="17"/>
      <c r="M4992" s="18"/>
    </row>
    <row r="4993" spans="1:13" x14ac:dyDescent="0.35">
      <c r="A4993" s="81"/>
      <c r="B4993" s="17"/>
      <c r="C4993" s="17"/>
      <c r="D4993" s="17"/>
      <c r="E4993" s="17"/>
      <c r="F4993" s="17"/>
      <c r="G4993" s="17"/>
      <c r="H4993" s="17"/>
      <c r="I4993" s="17"/>
      <c r="J4993" s="17"/>
      <c r="K4993" s="17"/>
      <c r="L4993" s="17"/>
      <c r="M4993" s="18"/>
    </row>
    <row r="4994" spans="1:13" x14ac:dyDescent="0.35">
      <c r="A4994" s="82"/>
      <c r="B4994" s="19"/>
      <c r="C4994" s="19"/>
      <c r="D4994" s="19"/>
      <c r="E4994" s="19"/>
      <c r="F4994" s="19"/>
      <c r="G4994" s="19"/>
      <c r="H4994" s="19"/>
      <c r="I4994" s="19"/>
      <c r="J4994" s="19"/>
      <c r="K4994" s="19"/>
      <c r="L4994" s="19"/>
      <c r="M4994" s="20"/>
    </row>
    <row r="4995" spans="1:13" x14ac:dyDescent="0.35">
      <c r="A4995" s="81"/>
      <c r="B4995" s="17"/>
      <c r="C4995" s="17"/>
      <c r="D4995" s="17"/>
      <c r="E4995" s="17"/>
      <c r="F4995" s="17"/>
      <c r="G4995" s="17"/>
      <c r="H4995" s="17"/>
      <c r="I4995" s="17"/>
      <c r="J4995" s="17"/>
      <c r="K4995" s="17"/>
      <c r="L4995" s="17"/>
      <c r="M4995" s="18"/>
    </row>
    <row r="4996" spans="1:13" x14ac:dyDescent="0.35">
      <c r="A4996" s="81"/>
      <c r="B4996" s="17"/>
      <c r="C4996" s="17"/>
      <c r="D4996" s="17"/>
      <c r="E4996" s="17"/>
      <c r="F4996" s="17"/>
      <c r="G4996" s="17"/>
      <c r="H4996" s="17"/>
      <c r="I4996" s="17"/>
      <c r="J4996" s="17"/>
      <c r="K4996" s="17"/>
      <c r="L4996" s="17"/>
      <c r="M4996" s="18"/>
    </row>
    <row r="4997" spans="1:13" x14ac:dyDescent="0.35">
      <c r="A4997" s="81"/>
      <c r="B4997" s="17"/>
      <c r="C4997" s="17"/>
      <c r="D4997" s="17"/>
      <c r="E4997" s="17"/>
      <c r="F4997" s="17"/>
      <c r="G4997" s="17"/>
      <c r="H4997" s="17"/>
      <c r="I4997" s="17"/>
      <c r="J4997" s="17"/>
      <c r="K4997" s="17"/>
      <c r="L4997" s="17"/>
      <c r="M4997" s="18"/>
    </row>
    <row r="4998" spans="1:13" x14ac:dyDescent="0.35">
      <c r="A4998" s="82"/>
      <c r="B4998" s="19"/>
      <c r="C4998" s="19"/>
      <c r="D4998" s="19"/>
      <c r="E4998" s="19"/>
      <c r="F4998" s="19"/>
      <c r="G4998" s="19"/>
      <c r="H4998" s="19"/>
      <c r="I4998" s="19"/>
      <c r="J4998" s="19"/>
      <c r="K4998" s="19"/>
      <c r="L4998" s="19"/>
      <c r="M4998" s="20"/>
    </row>
    <row r="4999" spans="1:13" x14ac:dyDescent="0.35">
      <c r="A4999" s="81"/>
      <c r="B4999" s="17"/>
      <c r="C4999" s="17"/>
      <c r="D4999" s="17"/>
      <c r="E4999" s="17"/>
      <c r="F4999" s="17"/>
      <c r="G4999" s="17"/>
      <c r="H4999" s="17"/>
      <c r="I4999" s="17"/>
      <c r="J4999" s="17"/>
      <c r="K4999" s="17"/>
      <c r="L4999" s="17"/>
      <c r="M4999" s="18"/>
    </row>
    <row r="5000" spans="1:13" x14ac:dyDescent="0.35">
      <c r="A5000" s="82"/>
      <c r="B5000" s="19"/>
      <c r="C5000" s="19"/>
      <c r="D5000" s="19"/>
      <c r="E5000" s="19"/>
      <c r="F5000" s="19"/>
      <c r="G5000" s="19"/>
      <c r="H5000" s="19"/>
      <c r="I5000" s="19"/>
      <c r="J5000" s="19"/>
      <c r="K5000" s="19"/>
      <c r="L5000" s="19"/>
      <c r="M5000" s="20"/>
    </row>
    <row r="5001" spans="1:13" x14ac:dyDescent="0.35">
      <c r="A5001" s="81"/>
      <c r="B5001" s="17"/>
      <c r="C5001" s="17"/>
      <c r="D5001" s="17"/>
      <c r="E5001" s="17"/>
      <c r="F5001" s="17"/>
      <c r="G5001" s="17"/>
      <c r="H5001" s="17"/>
      <c r="I5001" s="17"/>
      <c r="J5001" s="17"/>
      <c r="K5001" s="17"/>
      <c r="L5001" s="17"/>
      <c r="M5001" s="18"/>
    </row>
    <row r="5002" spans="1:13" x14ac:dyDescent="0.35">
      <c r="A5002" s="81"/>
      <c r="B5002" s="17"/>
      <c r="C5002" s="17"/>
      <c r="D5002" s="17"/>
      <c r="E5002" s="17"/>
      <c r="F5002" s="17"/>
      <c r="G5002" s="17"/>
      <c r="H5002" s="17"/>
      <c r="I5002" s="17"/>
      <c r="J5002" s="17"/>
      <c r="K5002" s="17"/>
      <c r="L5002" s="17"/>
      <c r="M5002" s="18"/>
    </row>
    <row r="5003" spans="1:13" x14ac:dyDescent="0.35">
      <c r="A5003" s="82"/>
      <c r="B5003" s="19"/>
      <c r="C5003" s="19"/>
      <c r="D5003" s="19"/>
      <c r="E5003" s="19"/>
      <c r="F5003" s="19"/>
      <c r="G5003" s="19"/>
      <c r="H5003" s="19"/>
      <c r="I5003" s="19"/>
      <c r="J5003" s="19"/>
      <c r="K5003" s="19"/>
      <c r="L5003" s="19"/>
      <c r="M5003" s="20"/>
    </row>
    <row r="5004" spans="1:13" x14ac:dyDescent="0.35">
      <c r="A5004" s="81"/>
      <c r="B5004" s="17"/>
      <c r="C5004" s="17"/>
      <c r="D5004" s="17"/>
      <c r="E5004" s="17"/>
      <c r="F5004" s="17"/>
      <c r="G5004" s="17"/>
      <c r="H5004" s="17"/>
      <c r="I5004" s="17"/>
      <c r="J5004" s="17"/>
      <c r="K5004" s="17"/>
      <c r="L5004" s="17"/>
      <c r="M5004" s="18"/>
    </row>
    <row r="5005" spans="1:13" x14ac:dyDescent="0.35">
      <c r="A5005" s="82"/>
      <c r="B5005" s="19"/>
      <c r="C5005" s="19"/>
      <c r="D5005" s="19"/>
      <c r="E5005" s="19"/>
      <c r="F5005" s="19"/>
      <c r="G5005" s="19"/>
      <c r="H5005" s="19"/>
      <c r="I5005" s="19"/>
      <c r="J5005" s="19"/>
      <c r="K5005" s="19"/>
      <c r="L5005" s="19"/>
      <c r="M5005" s="20"/>
    </row>
    <row r="5006" spans="1:13" x14ac:dyDescent="0.35">
      <c r="A5006" s="82"/>
      <c r="B5006" s="19"/>
      <c r="C5006" s="19"/>
      <c r="D5006" s="19"/>
      <c r="E5006" s="19"/>
      <c r="F5006" s="19"/>
      <c r="G5006" s="19"/>
      <c r="H5006" s="19"/>
      <c r="I5006" s="19"/>
      <c r="J5006" s="19"/>
      <c r="K5006" s="19"/>
      <c r="L5006" s="19"/>
      <c r="M5006" s="20"/>
    </row>
    <row r="5007" spans="1:13" x14ac:dyDescent="0.35">
      <c r="A5007" s="86"/>
      <c r="B5007" s="21"/>
      <c r="C5007" s="21"/>
      <c r="D5007" s="21"/>
      <c r="E5007" s="21"/>
      <c r="F5007" s="21"/>
      <c r="G5007" s="21"/>
      <c r="H5007" s="21"/>
      <c r="I5007" s="21"/>
      <c r="J5007" s="21"/>
      <c r="K5007" s="21"/>
      <c r="L5007" s="21"/>
      <c r="M5007" s="22"/>
    </row>
    <row r="5008" spans="1:13" x14ac:dyDescent="0.35">
      <c r="A5008" s="85"/>
      <c r="B5008" s="23"/>
      <c r="C5008" s="23"/>
      <c r="D5008" s="23"/>
      <c r="E5008" s="23"/>
      <c r="F5008" s="23"/>
      <c r="G5008" s="23"/>
      <c r="H5008" s="23"/>
      <c r="I5008" s="23"/>
      <c r="J5008" s="23"/>
      <c r="K5008" s="23"/>
      <c r="L5008" s="23"/>
      <c r="M5008" s="24"/>
    </row>
    <row r="5009" spans="1:13" x14ac:dyDescent="0.35">
      <c r="A5009" s="86"/>
      <c r="B5009" s="21"/>
      <c r="C5009" s="21"/>
      <c r="D5009" s="21"/>
      <c r="E5009" s="21"/>
      <c r="F5009" s="21"/>
      <c r="G5009" s="21"/>
      <c r="H5009" s="21"/>
      <c r="I5009" s="21"/>
      <c r="J5009" s="21"/>
      <c r="K5009" s="21"/>
      <c r="L5009" s="21"/>
      <c r="M5009" s="22"/>
    </row>
    <row r="5010" spans="1:13" x14ac:dyDescent="0.35">
      <c r="A5010" s="86"/>
      <c r="B5010" s="21"/>
      <c r="C5010" s="21"/>
      <c r="D5010" s="21"/>
      <c r="E5010" s="21"/>
      <c r="F5010" s="21"/>
      <c r="G5010" s="21"/>
      <c r="H5010" s="21"/>
      <c r="I5010" s="21"/>
      <c r="J5010" s="21"/>
      <c r="K5010" s="21"/>
      <c r="L5010" s="21"/>
      <c r="M5010" s="22"/>
    </row>
    <row r="5011" spans="1:13" x14ac:dyDescent="0.35">
      <c r="A5011" s="86"/>
      <c r="B5011" s="21"/>
      <c r="C5011" s="21"/>
      <c r="D5011" s="21"/>
      <c r="E5011" s="21"/>
      <c r="F5011" s="21"/>
      <c r="G5011" s="21"/>
      <c r="H5011" s="21"/>
      <c r="I5011" s="21"/>
      <c r="J5011" s="21"/>
      <c r="K5011" s="21"/>
      <c r="L5011" s="21"/>
      <c r="M5011" s="22"/>
    </row>
    <row r="5012" spans="1:13" x14ac:dyDescent="0.35">
      <c r="A5012" s="85"/>
      <c r="B5012" s="23"/>
      <c r="C5012" s="23"/>
      <c r="D5012" s="23"/>
      <c r="E5012" s="23"/>
      <c r="F5012" s="23"/>
      <c r="G5012" s="23"/>
      <c r="H5012" s="23"/>
      <c r="I5012" s="23"/>
      <c r="J5012" s="23"/>
      <c r="K5012" s="23"/>
      <c r="L5012" s="23"/>
      <c r="M5012" s="24"/>
    </row>
    <row r="5013" spans="1:13" x14ac:dyDescent="0.35">
      <c r="A5013" s="86"/>
      <c r="B5013" s="21"/>
      <c r="C5013" s="21"/>
      <c r="D5013" s="21"/>
      <c r="E5013" s="21"/>
      <c r="F5013" s="21"/>
      <c r="G5013" s="21"/>
      <c r="H5013" s="21"/>
      <c r="I5013" s="21"/>
      <c r="J5013" s="21"/>
      <c r="K5013" s="21"/>
      <c r="L5013" s="21"/>
      <c r="M5013" s="22"/>
    </row>
    <row r="5014" spans="1:13" x14ac:dyDescent="0.35">
      <c r="A5014" s="86"/>
      <c r="B5014" s="21"/>
      <c r="C5014" s="21"/>
      <c r="D5014" s="21"/>
      <c r="E5014" s="21"/>
      <c r="F5014" s="21"/>
      <c r="G5014" s="21"/>
      <c r="H5014" s="21"/>
      <c r="I5014" s="21"/>
      <c r="J5014" s="21"/>
      <c r="K5014" s="21"/>
      <c r="L5014" s="21"/>
      <c r="M5014" s="22"/>
    </row>
    <row r="5015" spans="1:13" x14ac:dyDescent="0.35">
      <c r="A5015" s="86"/>
      <c r="B5015" s="21"/>
      <c r="C5015" s="21"/>
      <c r="D5015" s="21"/>
      <c r="E5015" s="21"/>
      <c r="F5015" s="21"/>
      <c r="G5015" s="21"/>
      <c r="H5015" s="21"/>
      <c r="I5015" s="21"/>
      <c r="J5015" s="21"/>
      <c r="K5015" s="21"/>
      <c r="L5015" s="21"/>
      <c r="M5015" s="22"/>
    </row>
    <row r="5016" spans="1:13" x14ac:dyDescent="0.35">
      <c r="A5016" s="86"/>
      <c r="B5016" s="23"/>
      <c r="C5016" s="23"/>
      <c r="D5016" s="23"/>
      <c r="E5016" s="23"/>
      <c r="F5016" s="23"/>
      <c r="G5016" s="23"/>
      <c r="H5016" s="23"/>
      <c r="I5016" s="23"/>
      <c r="J5016" s="23"/>
      <c r="K5016" s="23"/>
      <c r="L5016" s="23"/>
      <c r="M5016" s="24"/>
    </row>
    <row r="5017" spans="1:13" x14ac:dyDescent="0.35">
      <c r="A5017" s="86"/>
      <c r="B5017" s="21"/>
      <c r="C5017" s="21"/>
      <c r="D5017" s="21"/>
      <c r="E5017" s="21"/>
      <c r="F5017" s="21"/>
      <c r="G5017" s="21"/>
      <c r="H5017" s="21"/>
      <c r="I5017" s="21"/>
      <c r="J5017" s="21"/>
      <c r="K5017" s="21"/>
      <c r="L5017" s="21"/>
      <c r="M5017" s="22"/>
    </row>
    <row r="5018" spans="1:13" x14ac:dyDescent="0.35">
      <c r="A5018" s="86"/>
      <c r="B5018" s="21"/>
      <c r="C5018" s="21"/>
      <c r="D5018" s="21"/>
      <c r="E5018" s="21"/>
      <c r="F5018" s="21"/>
      <c r="G5018" s="21"/>
      <c r="H5018" s="21"/>
      <c r="I5018" s="21"/>
      <c r="J5018" s="21"/>
      <c r="K5018" s="21"/>
      <c r="L5018" s="21"/>
      <c r="M5018" s="22"/>
    </row>
    <row r="5019" spans="1:13" x14ac:dyDescent="0.35">
      <c r="A5019" s="85"/>
      <c r="B5019" s="23"/>
      <c r="C5019" s="23"/>
      <c r="D5019" s="23"/>
      <c r="E5019" s="23"/>
      <c r="F5019" s="23"/>
      <c r="G5019" s="23"/>
      <c r="H5019" s="23"/>
      <c r="I5019" s="23"/>
      <c r="J5019" s="23"/>
      <c r="K5019" s="23"/>
      <c r="L5019" s="23"/>
      <c r="M5019" s="24"/>
    </row>
    <row r="5020" spans="1:13" x14ac:dyDescent="0.35">
      <c r="A5020" s="85"/>
      <c r="B5020" s="23"/>
      <c r="C5020" s="23"/>
      <c r="D5020" s="23"/>
      <c r="E5020" s="23"/>
      <c r="F5020" s="23"/>
      <c r="G5020" s="23"/>
      <c r="H5020" s="23"/>
      <c r="I5020" s="23"/>
      <c r="J5020" s="23"/>
      <c r="K5020" s="23"/>
      <c r="L5020" s="23"/>
      <c r="M5020" s="24"/>
    </row>
    <row r="5021" spans="1:13" x14ac:dyDescent="0.35">
      <c r="A5021" s="85"/>
      <c r="B5021" s="23"/>
      <c r="C5021" s="23"/>
      <c r="D5021" s="23"/>
      <c r="E5021" s="23"/>
      <c r="F5021" s="23"/>
      <c r="G5021" s="23"/>
      <c r="H5021" s="23"/>
      <c r="I5021" s="23"/>
      <c r="J5021" s="23"/>
      <c r="K5021" s="23"/>
      <c r="L5021" s="23"/>
      <c r="M5021" s="24"/>
    </row>
    <row r="5022" spans="1:13" x14ac:dyDescent="0.35">
      <c r="A5022" s="85"/>
      <c r="B5022" s="23"/>
      <c r="C5022" s="23"/>
      <c r="D5022" s="23"/>
      <c r="E5022" s="23"/>
      <c r="F5022" s="23"/>
      <c r="G5022" s="23"/>
      <c r="H5022" s="23"/>
      <c r="I5022" s="23"/>
      <c r="J5022" s="23"/>
      <c r="K5022" s="23"/>
      <c r="L5022" s="23"/>
      <c r="M5022" s="24"/>
    </row>
    <row r="5023" spans="1:13" x14ac:dyDescent="0.35">
      <c r="A5023" s="85"/>
      <c r="B5023" s="23"/>
      <c r="C5023" s="23"/>
      <c r="D5023" s="23"/>
      <c r="E5023" s="23"/>
      <c r="F5023" s="23"/>
      <c r="G5023" s="23"/>
      <c r="H5023" s="23"/>
      <c r="I5023" s="23"/>
      <c r="J5023" s="23"/>
      <c r="K5023" s="23"/>
      <c r="L5023" s="23"/>
      <c r="M5023" s="24"/>
    </row>
    <row r="5024" spans="1:13" x14ac:dyDescent="0.35">
      <c r="A5024" s="86"/>
      <c r="B5024" s="21"/>
      <c r="C5024" s="21"/>
      <c r="D5024" s="21"/>
      <c r="E5024" s="21"/>
      <c r="F5024" s="21"/>
      <c r="G5024" s="21"/>
      <c r="H5024" s="21"/>
      <c r="I5024" s="21"/>
      <c r="J5024" s="21"/>
      <c r="K5024" s="21"/>
      <c r="L5024" s="21"/>
      <c r="M5024" s="22"/>
    </row>
    <row r="5025" spans="1:13" x14ac:dyDescent="0.35">
      <c r="A5025" s="85"/>
      <c r="B5025" s="23"/>
      <c r="C5025" s="23"/>
      <c r="D5025" s="23"/>
      <c r="E5025" s="23"/>
      <c r="F5025" s="23"/>
      <c r="G5025" s="23"/>
      <c r="H5025" s="23"/>
      <c r="I5025" s="23"/>
      <c r="J5025" s="23"/>
      <c r="K5025" s="23"/>
      <c r="L5025" s="23"/>
      <c r="M5025" s="24"/>
    </row>
    <row r="5026" spans="1:13" x14ac:dyDescent="0.35">
      <c r="A5026" s="86"/>
      <c r="B5026" s="21"/>
      <c r="C5026" s="21"/>
      <c r="D5026" s="21"/>
      <c r="E5026" s="21"/>
      <c r="F5026" s="21"/>
      <c r="G5026" s="21"/>
      <c r="H5026" s="21"/>
      <c r="I5026" s="21"/>
      <c r="J5026" s="21"/>
      <c r="K5026" s="21"/>
      <c r="L5026" s="21"/>
      <c r="M5026" s="22"/>
    </row>
    <row r="5027" spans="1:13" x14ac:dyDescent="0.35">
      <c r="A5027" s="85"/>
      <c r="B5027" s="23"/>
      <c r="C5027" s="23"/>
      <c r="D5027" s="23"/>
      <c r="E5027" s="23"/>
      <c r="F5027" s="23"/>
      <c r="G5027" s="23"/>
      <c r="H5027" s="23"/>
      <c r="I5027" s="23"/>
      <c r="J5027" s="23"/>
      <c r="K5027" s="23"/>
      <c r="L5027" s="23"/>
      <c r="M5027" s="24"/>
    </row>
    <row r="5028" spans="1:13" x14ac:dyDescent="0.35">
      <c r="A5028" s="85"/>
      <c r="B5028" s="23"/>
      <c r="C5028" s="23"/>
      <c r="D5028" s="23"/>
      <c r="E5028" s="23"/>
      <c r="F5028" s="23"/>
      <c r="G5028" s="23"/>
      <c r="H5028" s="23"/>
      <c r="I5028" s="23"/>
      <c r="J5028" s="23"/>
      <c r="K5028" s="23"/>
      <c r="L5028" s="23"/>
      <c r="M5028" s="24"/>
    </row>
    <row r="5029" spans="1:13" x14ac:dyDescent="0.35">
      <c r="A5029" s="85"/>
      <c r="B5029" s="23"/>
      <c r="C5029" s="23"/>
      <c r="D5029" s="23"/>
      <c r="E5029" s="23"/>
      <c r="F5029" s="23"/>
      <c r="G5029" s="23"/>
      <c r="H5029" s="23"/>
      <c r="I5029" s="23"/>
      <c r="J5029" s="23"/>
      <c r="K5029" s="23"/>
      <c r="L5029" s="23"/>
      <c r="M5029" s="24"/>
    </row>
    <row r="5030" spans="1:13" x14ac:dyDescent="0.35">
      <c r="A5030" s="85"/>
      <c r="B5030" s="23"/>
      <c r="C5030" s="23"/>
      <c r="D5030" s="23"/>
      <c r="E5030" s="23"/>
      <c r="F5030" s="23"/>
      <c r="G5030" s="23"/>
      <c r="H5030" s="23"/>
      <c r="I5030" s="23"/>
      <c r="J5030" s="23"/>
      <c r="K5030" s="23"/>
      <c r="L5030" s="23"/>
      <c r="M5030" s="24"/>
    </row>
    <row r="5031" spans="1:13" x14ac:dyDescent="0.35">
      <c r="A5031" s="86"/>
      <c r="B5031" s="21"/>
      <c r="C5031" s="21"/>
      <c r="D5031" s="21"/>
      <c r="E5031" s="21"/>
      <c r="F5031" s="21"/>
      <c r="G5031" s="21"/>
      <c r="H5031" s="21"/>
      <c r="I5031" s="21"/>
      <c r="J5031" s="21"/>
      <c r="K5031" s="21"/>
      <c r="L5031" s="21"/>
      <c r="M5031" s="22"/>
    </row>
    <row r="5032" spans="1:13" x14ac:dyDescent="0.35">
      <c r="A5032" s="85"/>
      <c r="B5032" s="23"/>
      <c r="C5032" s="23"/>
      <c r="D5032" s="23"/>
      <c r="E5032" s="23"/>
      <c r="F5032" s="23"/>
      <c r="G5032" s="23"/>
      <c r="H5032" s="23"/>
      <c r="I5032" s="23"/>
      <c r="J5032" s="23"/>
      <c r="K5032" s="23"/>
      <c r="L5032" s="23"/>
      <c r="M5032" s="24"/>
    </row>
    <row r="5033" spans="1:13" x14ac:dyDescent="0.35">
      <c r="A5033" s="86"/>
      <c r="B5033" s="21"/>
      <c r="C5033" s="21"/>
      <c r="D5033" s="21"/>
      <c r="E5033" s="21"/>
      <c r="F5033" s="21"/>
      <c r="G5033" s="21"/>
      <c r="H5033" s="21"/>
      <c r="I5033" s="21"/>
      <c r="J5033" s="21"/>
      <c r="K5033" s="21"/>
      <c r="L5033" s="21"/>
      <c r="M5033" s="22"/>
    </row>
    <row r="5034" spans="1:13" x14ac:dyDescent="0.35">
      <c r="A5034" s="85"/>
      <c r="B5034" s="23"/>
      <c r="C5034" s="23"/>
      <c r="D5034" s="23"/>
      <c r="E5034" s="23"/>
      <c r="F5034" s="23"/>
      <c r="G5034" s="23"/>
      <c r="H5034" s="23"/>
      <c r="I5034" s="23"/>
      <c r="J5034" s="23"/>
      <c r="K5034" s="23"/>
      <c r="L5034" s="23"/>
      <c r="M5034" s="24"/>
    </row>
    <row r="5035" spans="1:13" x14ac:dyDescent="0.35">
      <c r="A5035" s="85"/>
      <c r="B5035" s="23"/>
      <c r="C5035" s="23"/>
      <c r="D5035" s="23"/>
      <c r="E5035" s="23"/>
      <c r="F5035" s="23"/>
      <c r="G5035" s="23"/>
      <c r="H5035" s="23"/>
      <c r="I5035" s="23"/>
      <c r="J5035" s="23"/>
      <c r="K5035" s="23"/>
      <c r="L5035" s="23"/>
      <c r="M5035" s="24"/>
    </row>
    <row r="5036" spans="1:13" x14ac:dyDescent="0.35">
      <c r="A5036" s="82"/>
      <c r="B5036" s="19"/>
      <c r="C5036" s="19"/>
      <c r="D5036" s="19"/>
      <c r="E5036" s="19"/>
      <c r="F5036" s="19"/>
      <c r="G5036" s="19"/>
      <c r="H5036" s="19"/>
      <c r="I5036" s="19"/>
      <c r="J5036" s="19"/>
      <c r="K5036" s="19"/>
      <c r="L5036" s="19"/>
      <c r="M5036" s="20"/>
    </row>
    <row r="5037" spans="1:13" x14ac:dyDescent="0.35">
      <c r="A5037" s="82"/>
      <c r="B5037" s="19"/>
      <c r="C5037" s="19"/>
      <c r="D5037" s="19"/>
      <c r="E5037" s="19"/>
      <c r="F5037" s="19"/>
      <c r="G5037" s="19"/>
      <c r="H5037" s="19"/>
      <c r="I5037" s="19"/>
      <c r="J5037" s="19"/>
      <c r="K5037" s="19"/>
      <c r="L5037" s="19"/>
      <c r="M5037" s="20"/>
    </row>
    <row r="5038" spans="1:13" x14ac:dyDescent="0.35">
      <c r="A5038" s="82"/>
      <c r="B5038" s="19"/>
      <c r="C5038" s="19"/>
      <c r="D5038" s="19"/>
      <c r="E5038" s="19"/>
      <c r="F5038" s="19"/>
      <c r="G5038" s="19"/>
      <c r="H5038" s="19"/>
      <c r="I5038" s="19"/>
      <c r="J5038" s="19"/>
      <c r="K5038" s="19"/>
      <c r="L5038" s="19"/>
      <c r="M5038" s="20"/>
    </row>
    <row r="5039" spans="1:13" x14ac:dyDescent="0.35">
      <c r="A5039" s="82"/>
      <c r="B5039" s="19"/>
      <c r="C5039" s="19"/>
      <c r="D5039" s="19"/>
      <c r="E5039" s="19"/>
      <c r="F5039" s="19"/>
      <c r="G5039" s="19"/>
      <c r="H5039" s="19"/>
      <c r="I5039" s="19"/>
      <c r="J5039" s="19"/>
      <c r="K5039" s="19"/>
      <c r="L5039" s="19"/>
      <c r="M5039" s="20"/>
    </row>
    <row r="5040" spans="1:13" x14ac:dyDescent="0.35">
      <c r="A5040" s="82"/>
      <c r="B5040" s="19"/>
      <c r="C5040" s="19"/>
      <c r="D5040" s="19"/>
      <c r="E5040" s="19"/>
      <c r="F5040" s="19"/>
      <c r="G5040" s="19"/>
      <c r="H5040" s="19"/>
      <c r="I5040" s="19"/>
      <c r="J5040" s="19"/>
      <c r="K5040" s="19"/>
      <c r="L5040" s="19"/>
      <c r="M5040" s="20"/>
    </row>
    <row r="5041" spans="1:13" x14ac:dyDescent="0.35">
      <c r="A5041" s="86"/>
      <c r="B5041" s="21"/>
      <c r="C5041" s="21"/>
      <c r="D5041" s="21"/>
      <c r="E5041" s="21"/>
      <c r="F5041" s="21"/>
      <c r="G5041" s="21"/>
      <c r="H5041" s="21"/>
      <c r="I5041" s="21"/>
      <c r="J5041" s="21"/>
      <c r="K5041" s="21"/>
      <c r="L5041" s="21"/>
      <c r="M5041" s="22"/>
    </row>
    <row r="5042" spans="1:13" x14ac:dyDescent="0.35">
      <c r="A5042" s="85"/>
      <c r="B5042" s="23"/>
      <c r="C5042" s="23"/>
      <c r="D5042" s="23"/>
      <c r="E5042" s="23"/>
      <c r="F5042" s="23"/>
      <c r="G5042" s="23"/>
      <c r="H5042" s="23"/>
      <c r="I5042" s="23"/>
      <c r="J5042" s="23"/>
      <c r="K5042" s="23"/>
      <c r="L5042" s="23"/>
      <c r="M5042" s="24"/>
    </row>
    <row r="5043" spans="1:13" x14ac:dyDescent="0.35">
      <c r="A5043" s="86"/>
      <c r="B5043" s="21"/>
      <c r="C5043" s="21"/>
      <c r="D5043" s="21"/>
      <c r="E5043" s="21"/>
      <c r="F5043" s="21"/>
      <c r="G5043" s="21"/>
      <c r="H5043" s="21"/>
      <c r="I5043" s="21"/>
      <c r="J5043" s="21"/>
      <c r="K5043" s="21"/>
      <c r="L5043" s="21"/>
      <c r="M5043" s="22"/>
    </row>
    <row r="5044" spans="1:13" x14ac:dyDescent="0.35">
      <c r="A5044" s="86"/>
      <c r="B5044" s="21"/>
      <c r="C5044" s="21"/>
      <c r="D5044" s="21"/>
      <c r="E5044" s="21"/>
      <c r="F5044" s="21"/>
      <c r="G5044" s="21"/>
      <c r="H5044" s="21"/>
      <c r="I5044" s="21"/>
      <c r="J5044" s="21"/>
      <c r="K5044" s="21"/>
      <c r="L5044" s="21"/>
      <c r="M5044" s="22"/>
    </row>
    <row r="5045" spans="1:13" x14ac:dyDescent="0.35">
      <c r="A5045" s="85"/>
      <c r="B5045" s="23"/>
      <c r="C5045" s="23"/>
      <c r="D5045" s="23"/>
      <c r="E5045" s="23"/>
      <c r="F5045" s="23"/>
      <c r="G5045" s="23"/>
      <c r="H5045" s="23"/>
      <c r="I5045" s="23"/>
      <c r="J5045" s="23"/>
      <c r="K5045" s="23"/>
      <c r="L5045" s="23"/>
      <c r="M5045" s="24"/>
    </row>
    <row r="5046" spans="1:13" x14ac:dyDescent="0.35">
      <c r="A5046" s="86"/>
      <c r="B5046" s="21"/>
      <c r="C5046" s="21"/>
      <c r="D5046" s="21"/>
      <c r="E5046" s="21"/>
      <c r="F5046" s="21"/>
      <c r="G5046" s="21"/>
      <c r="H5046" s="21"/>
      <c r="I5046" s="21"/>
      <c r="J5046" s="21"/>
      <c r="K5046" s="21"/>
      <c r="L5046" s="21"/>
      <c r="M5046" s="22"/>
    </row>
    <row r="5047" spans="1:13" x14ac:dyDescent="0.35">
      <c r="A5047" s="85"/>
      <c r="B5047" s="23"/>
      <c r="C5047" s="23"/>
      <c r="D5047" s="23"/>
      <c r="E5047" s="23"/>
      <c r="F5047" s="23"/>
      <c r="G5047" s="23"/>
      <c r="H5047" s="23"/>
      <c r="I5047" s="23"/>
      <c r="J5047" s="23"/>
      <c r="K5047" s="23"/>
      <c r="L5047" s="23"/>
      <c r="M5047" s="24"/>
    </row>
    <row r="5048" spans="1:13" x14ac:dyDescent="0.35">
      <c r="A5048" s="86"/>
      <c r="B5048" s="21"/>
      <c r="C5048" s="21"/>
      <c r="D5048" s="21"/>
      <c r="E5048" s="21"/>
      <c r="F5048" s="21"/>
      <c r="G5048" s="21"/>
      <c r="H5048" s="21"/>
      <c r="I5048" s="21"/>
      <c r="J5048" s="21"/>
      <c r="K5048" s="21"/>
      <c r="L5048" s="21"/>
      <c r="M5048" s="22"/>
    </row>
    <row r="5049" spans="1:13" x14ac:dyDescent="0.35">
      <c r="A5049" s="86"/>
      <c r="B5049" s="21"/>
      <c r="C5049" s="21"/>
      <c r="D5049" s="21"/>
      <c r="E5049" s="21"/>
      <c r="F5049" s="21"/>
      <c r="G5049" s="21"/>
      <c r="H5049" s="21"/>
      <c r="I5049" s="21"/>
      <c r="J5049" s="21"/>
      <c r="K5049" s="21"/>
      <c r="L5049" s="21"/>
      <c r="M5049" s="22"/>
    </row>
    <row r="5050" spans="1:13" x14ac:dyDescent="0.35">
      <c r="A5050" s="86"/>
      <c r="B5050" s="21"/>
      <c r="C5050" s="21"/>
      <c r="D5050" s="21"/>
      <c r="E5050" s="21"/>
      <c r="F5050" s="21"/>
      <c r="G5050" s="21"/>
      <c r="H5050" s="21"/>
      <c r="I5050" s="21"/>
      <c r="J5050" s="21"/>
      <c r="K5050" s="21"/>
      <c r="L5050" s="21"/>
      <c r="M5050" s="22"/>
    </row>
    <row r="5051" spans="1:13" x14ac:dyDescent="0.35">
      <c r="A5051" s="86"/>
      <c r="B5051" s="21"/>
      <c r="C5051" s="21"/>
      <c r="D5051" s="21"/>
      <c r="E5051" s="21"/>
      <c r="F5051" s="21"/>
      <c r="G5051" s="21"/>
      <c r="H5051" s="21"/>
      <c r="I5051" s="21"/>
      <c r="J5051" s="21"/>
      <c r="K5051" s="21"/>
      <c r="L5051" s="21"/>
      <c r="M5051" s="22"/>
    </row>
    <row r="5052" spans="1:13" x14ac:dyDescent="0.35">
      <c r="A5052" s="85"/>
      <c r="B5052" s="23"/>
      <c r="C5052" s="23"/>
      <c r="D5052" s="23"/>
      <c r="E5052" s="23"/>
      <c r="F5052" s="23"/>
      <c r="G5052" s="23"/>
      <c r="H5052" s="23"/>
      <c r="I5052" s="23"/>
      <c r="J5052" s="23"/>
      <c r="K5052" s="23"/>
      <c r="L5052" s="23"/>
      <c r="M5052" s="24"/>
    </row>
    <row r="5053" spans="1:13" x14ac:dyDescent="0.35">
      <c r="A5053" s="86"/>
      <c r="B5053" s="21"/>
      <c r="C5053" s="21"/>
      <c r="D5053" s="21"/>
      <c r="E5053" s="21"/>
      <c r="F5053" s="21"/>
      <c r="G5053" s="21"/>
      <c r="H5053" s="21"/>
      <c r="I5053" s="21"/>
      <c r="J5053" s="21"/>
      <c r="K5053" s="21"/>
      <c r="L5053" s="21"/>
      <c r="M5053" s="22"/>
    </row>
    <row r="5054" spans="1:13" x14ac:dyDescent="0.35">
      <c r="A5054" s="85"/>
      <c r="B5054" s="23"/>
      <c r="C5054" s="23"/>
      <c r="D5054" s="23"/>
      <c r="E5054" s="23"/>
      <c r="F5054" s="23"/>
      <c r="G5054" s="23"/>
      <c r="H5054" s="23"/>
      <c r="I5054" s="23"/>
      <c r="J5054" s="23"/>
      <c r="K5054" s="23"/>
      <c r="L5054" s="23"/>
      <c r="M5054" s="24"/>
    </row>
    <row r="5055" spans="1:13" x14ac:dyDescent="0.35">
      <c r="A5055" s="86"/>
      <c r="B5055" s="21"/>
      <c r="C5055" s="21"/>
      <c r="D5055" s="21"/>
      <c r="E5055" s="21"/>
      <c r="F5055" s="21"/>
      <c r="G5055" s="21"/>
      <c r="H5055" s="21"/>
      <c r="I5055" s="21"/>
      <c r="J5055" s="21"/>
      <c r="K5055" s="21"/>
      <c r="L5055" s="21"/>
      <c r="M5055" s="22"/>
    </row>
    <row r="5056" spans="1:13" x14ac:dyDescent="0.35">
      <c r="A5056" s="85"/>
      <c r="B5056" s="23"/>
      <c r="C5056" s="23"/>
      <c r="D5056" s="23"/>
      <c r="E5056" s="23"/>
      <c r="F5056" s="23"/>
      <c r="G5056" s="23"/>
      <c r="H5056" s="23"/>
      <c r="I5056" s="23"/>
      <c r="J5056" s="23"/>
      <c r="K5056" s="23"/>
      <c r="L5056" s="23"/>
      <c r="M5056" s="24"/>
    </row>
    <row r="5057" spans="1:13" x14ac:dyDescent="0.35">
      <c r="A5057" s="82"/>
      <c r="B5057" s="19"/>
      <c r="C5057" s="19"/>
      <c r="D5057" s="19"/>
      <c r="E5057" s="19"/>
      <c r="F5057" s="19"/>
      <c r="G5057" s="19"/>
      <c r="H5057" s="19"/>
      <c r="I5057" s="19"/>
      <c r="J5057" s="19"/>
      <c r="K5057" s="19"/>
      <c r="L5057" s="19"/>
      <c r="M5057" s="20"/>
    </row>
    <row r="5058" spans="1:13" x14ac:dyDescent="0.35">
      <c r="A5058" s="82"/>
      <c r="B5058" s="19"/>
      <c r="C5058" s="19"/>
      <c r="D5058" s="19"/>
      <c r="E5058" s="19"/>
      <c r="F5058" s="19"/>
      <c r="G5058" s="19"/>
      <c r="H5058" s="19"/>
      <c r="I5058" s="19"/>
      <c r="J5058" s="19"/>
      <c r="K5058" s="19"/>
      <c r="L5058" s="19"/>
      <c r="M5058" s="20"/>
    </row>
    <row r="5059" spans="1:13" x14ac:dyDescent="0.35">
      <c r="A5059" s="82"/>
      <c r="B5059" s="19"/>
      <c r="C5059" s="19"/>
      <c r="D5059" s="19"/>
      <c r="E5059" s="19"/>
      <c r="F5059" s="19"/>
      <c r="G5059" s="19"/>
      <c r="H5059" s="19"/>
      <c r="I5059" s="19"/>
      <c r="J5059" s="19"/>
      <c r="K5059" s="19"/>
      <c r="L5059" s="19"/>
      <c r="M5059" s="20"/>
    </row>
    <row r="5060" spans="1:13" x14ac:dyDescent="0.35">
      <c r="A5060" s="82"/>
      <c r="B5060" s="19"/>
      <c r="C5060" s="19"/>
      <c r="D5060" s="19"/>
      <c r="E5060" s="19"/>
      <c r="F5060" s="19"/>
      <c r="G5060" s="19"/>
      <c r="H5060" s="19"/>
      <c r="I5060" s="19"/>
      <c r="J5060" s="19"/>
      <c r="K5060" s="19"/>
      <c r="L5060" s="19"/>
      <c r="M5060" s="20"/>
    </row>
    <row r="5061" spans="1:13" x14ac:dyDescent="0.35">
      <c r="A5061" s="81"/>
      <c r="B5061" s="17"/>
      <c r="C5061" s="17"/>
      <c r="D5061" s="17"/>
      <c r="E5061" s="17"/>
      <c r="F5061" s="17"/>
      <c r="G5061" s="17"/>
      <c r="H5061" s="17"/>
      <c r="I5061" s="17"/>
      <c r="J5061" s="17"/>
      <c r="K5061" s="17"/>
      <c r="L5061" s="17"/>
      <c r="M5061" s="18"/>
    </row>
    <row r="5062" spans="1:13" x14ac:dyDescent="0.35">
      <c r="A5062" s="81"/>
      <c r="B5062" s="17"/>
      <c r="C5062" s="17"/>
      <c r="D5062" s="17"/>
      <c r="E5062" s="17"/>
      <c r="F5062" s="17"/>
      <c r="G5062" s="17"/>
      <c r="H5062" s="17"/>
      <c r="I5062" s="17"/>
      <c r="J5062" s="17"/>
      <c r="K5062" s="17"/>
      <c r="L5062" s="17"/>
      <c r="M5062" s="18"/>
    </row>
    <row r="5063" spans="1:13" x14ac:dyDescent="0.35">
      <c r="A5063" s="81"/>
      <c r="B5063" s="17"/>
      <c r="C5063" s="17"/>
      <c r="D5063" s="17"/>
      <c r="E5063" s="17"/>
      <c r="F5063" s="17"/>
      <c r="G5063" s="17"/>
      <c r="H5063" s="17"/>
      <c r="I5063" s="17"/>
      <c r="J5063" s="17"/>
      <c r="K5063" s="17"/>
      <c r="L5063" s="17"/>
      <c r="M5063" s="18"/>
    </row>
    <row r="5064" spans="1:13" x14ac:dyDescent="0.35">
      <c r="A5064" s="82"/>
      <c r="B5064" s="19"/>
      <c r="C5064" s="19"/>
      <c r="D5064" s="19"/>
      <c r="E5064" s="19"/>
      <c r="F5064" s="19"/>
      <c r="G5064" s="19"/>
      <c r="H5064" s="19"/>
      <c r="I5064" s="19"/>
      <c r="J5064" s="19"/>
      <c r="K5064" s="19"/>
      <c r="L5064" s="19"/>
      <c r="M5064" s="20"/>
    </row>
    <row r="5065" spans="1:13" x14ac:dyDescent="0.35">
      <c r="A5065" s="82"/>
      <c r="B5065" s="19"/>
      <c r="C5065" s="19"/>
      <c r="D5065" s="19"/>
      <c r="E5065" s="19"/>
      <c r="F5065" s="19"/>
      <c r="G5065" s="19"/>
      <c r="H5065" s="19"/>
      <c r="I5065" s="19"/>
      <c r="J5065" s="19"/>
      <c r="K5065" s="19"/>
      <c r="L5065" s="19"/>
      <c r="M5065" s="20"/>
    </row>
    <row r="5066" spans="1:13" x14ac:dyDescent="0.35">
      <c r="A5066" s="82"/>
      <c r="B5066" s="19"/>
      <c r="C5066" s="19"/>
      <c r="D5066" s="19"/>
      <c r="E5066" s="19"/>
      <c r="F5066" s="19"/>
      <c r="G5066" s="19"/>
      <c r="H5066" s="19"/>
      <c r="I5066" s="19"/>
      <c r="J5066" s="19"/>
      <c r="K5066" s="19"/>
      <c r="L5066" s="19"/>
      <c r="M5066" s="20"/>
    </row>
    <row r="5067" spans="1:13" x14ac:dyDescent="0.35">
      <c r="A5067" s="82"/>
      <c r="B5067" s="19"/>
      <c r="C5067" s="19"/>
      <c r="D5067" s="19"/>
      <c r="E5067" s="19"/>
      <c r="F5067" s="19"/>
      <c r="G5067" s="19"/>
      <c r="H5067" s="19"/>
      <c r="I5067" s="19"/>
      <c r="J5067" s="19"/>
      <c r="K5067" s="19"/>
      <c r="L5067" s="19"/>
      <c r="M5067" s="20"/>
    </row>
    <row r="5068" spans="1:13" x14ac:dyDescent="0.35">
      <c r="A5068" s="81"/>
      <c r="B5068" s="17"/>
      <c r="C5068" s="17"/>
      <c r="D5068" s="17"/>
      <c r="E5068" s="17"/>
      <c r="F5068" s="17"/>
      <c r="G5068" s="17"/>
      <c r="H5068" s="17"/>
      <c r="I5068" s="17"/>
      <c r="J5068" s="17"/>
      <c r="K5068" s="17"/>
      <c r="L5068" s="17"/>
      <c r="M5068" s="18"/>
    </row>
    <row r="5069" spans="1:13" x14ac:dyDescent="0.35">
      <c r="A5069" s="81"/>
      <c r="B5069" s="17"/>
      <c r="C5069" s="17"/>
      <c r="D5069" s="17"/>
      <c r="E5069" s="17"/>
      <c r="F5069" s="17"/>
      <c r="G5069" s="17"/>
      <c r="H5069" s="17"/>
      <c r="I5069" s="17"/>
      <c r="J5069" s="17"/>
      <c r="K5069" s="17"/>
      <c r="L5069" s="17"/>
      <c r="M5069" s="18"/>
    </row>
    <row r="5070" spans="1:13" x14ac:dyDescent="0.35">
      <c r="A5070" s="82"/>
      <c r="B5070" s="19"/>
      <c r="C5070" s="19"/>
      <c r="D5070" s="19"/>
      <c r="E5070" s="19"/>
      <c r="F5070" s="19"/>
      <c r="G5070" s="19"/>
      <c r="H5070" s="19"/>
      <c r="I5070" s="19"/>
      <c r="J5070" s="19"/>
      <c r="K5070" s="19"/>
      <c r="L5070" s="19"/>
      <c r="M5070" s="20"/>
    </row>
    <row r="5071" spans="1:13" x14ac:dyDescent="0.35">
      <c r="A5071" s="82"/>
      <c r="B5071" s="19"/>
      <c r="C5071" s="19"/>
      <c r="D5071" s="19"/>
      <c r="E5071" s="19"/>
      <c r="F5071" s="19"/>
      <c r="G5071" s="19"/>
      <c r="H5071" s="19"/>
      <c r="I5071" s="19"/>
      <c r="J5071" s="19"/>
      <c r="K5071" s="19"/>
      <c r="L5071" s="19"/>
      <c r="M5071" s="20"/>
    </row>
    <row r="5072" spans="1:13" x14ac:dyDescent="0.35">
      <c r="A5072" s="82"/>
      <c r="B5072" s="19"/>
      <c r="C5072" s="19"/>
      <c r="D5072" s="19"/>
      <c r="E5072" s="19"/>
      <c r="F5072" s="19"/>
      <c r="G5072" s="19"/>
      <c r="H5072" s="19"/>
      <c r="I5072" s="19"/>
      <c r="J5072" s="19"/>
      <c r="K5072" s="19"/>
      <c r="L5072" s="19"/>
      <c r="M5072" s="20"/>
    </row>
    <row r="5073" spans="1:13" x14ac:dyDescent="0.35">
      <c r="A5073" s="82"/>
      <c r="B5073" s="19"/>
      <c r="C5073" s="19"/>
      <c r="D5073" s="19"/>
      <c r="E5073" s="19"/>
      <c r="F5073" s="19"/>
      <c r="G5073" s="19"/>
      <c r="H5073" s="19"/>
      <c r="I5073" s="19"/>
      <c r="J5073" s="19"/>
      <c r="K5073" s="19"/>
      <c r="L5073" s="19"/>
      <c r="M5073" s="20"/>
    </row>
    <row r="5074" spans="1:13" x14ac:dyDescent="0.35">
      <c r="A5074" s="82"/>
      <c r="B5074" s="19"/>
      <c r="C5074" s="19"/>
      <c r="D5074" s="19"/>
      <c r="E5074" s="19"/>
      <c r="F5074" s="19"/>
      <c r="G5074" s="19"/>
      <c r="H5074" s="19"/>
      <c r="I5074" s="19"/>
      <c r="J5074" s="19"/>
      <c r="K5074" s="19"/>
      <c r="L5074" s="19"/>
      <c r="M5074" s="20"/>
    </row>
    <row r="5075" spans="1:13" x14ac:dyDescent="0.35">
      <c r="A5075" s="82"/>
      <c r="B5075" s="19"/>
      <c r="C5075" s="19"/>
      <c r="D5075" s="19"/>
      <c r="E5075" s="19"/>
      <c r="F5075" s="19"/>
      <c r="G5075" s="19"/>
      <c r="H5075" s="19"/>
      <c r="I5075" s="19"/>
      <c r="J5075" s="19"/>
      <c r="K5075" s="19"/>
      <c r="L5075" s="19"/>
      <c r="M5075" s="20"/>
    </row>
    <row r="5076" spans="1:13" x14ac:dyDescent="0.35">
      <c r="A5076" s="82"/>
      <c r="B5076" s="19"/>
      <c r="C5076" s="19"/>
      <c r="D5076" s="19"/>
      <c r="E5076" s="19"/>
      <c r="F5076" s="19"/>
      <c r="G5076" s="19"/>
      <c r="H5076" s="19"/>
      <c r="I5076" s="19"/>
      <c r="J5076" s="19"/>
      <c r="K5076" s="19"/>
      <c r="L5076" s="19"/>
      <c r="M5076" s="20"/>
    </row>
    <row r="5077" spans="1:13" x14ac:dyDescent="0.35">
      <c r="A5077" s="82"/>
      <c r="B5077" s="19"/>
      <c r="C5077" s="19"/>
      <c r="D5077" s="19"/>
      <c r="E5077" s="19"/>
      <c r="F5077" s="19"/>
      <c r="G5077" s="19"/>
      <c r="H5077" s="19"/>
      <c r="I5077" s="19"/>
      <c r="J5077" s="19"/>
      <c r="K5077" s="19"/>
      <c r="L5077" s="19"/>
      <c r="M5077" s="20"/>
    </row>
    <row r="5078" spans="1:13" x14ac:dyDescent="0.35">
      <c r="A5078" s="82"/>
      <c r="B5078" s="19"/>
      <c r="C5078" s="19"/>
      <c r="D5078" s="19"/>
      <c r="E5078" s="19"/>
      <c r="F5078" s="19"/>
      <c r="G5078" s="19"/>
      <c r="H5078" s="19"/>
      <c r="I5078" s="19"/>
      <c r="J5078" s="19"/>
      <c r="K5078" s="19"/>
      <c r="L5078" s="19"/>
      <c r="M5078" s="20"/>
    </row>
    <row r="5079" spans="1:13" x14ac:dyDescent="0.35">
      <c r="A5079" s="82"/>
      <c r="B5079" s="19"/>
      <c r="C5079" s="19"/>
      <c r="D5079" s="19"/>
      <c r="E5079" s="19"/>
      <c r="F5079" s="19"/>
      <c r="G5079" s="19"/>
      <c r="H5079" s="19"/>
      <c r="I5079" s="19"/>
      <c r="J5079" s="19"/>
      <c r="K5079" s="19"/>
      <c r="L5079" s="19"/>
      <c r="M5079" s="20"/>
    </row>
    <row r="5080" spans="1:13" x14ac:dyDescent="0.35">
      <c r="A5080" s="82"/>
      <c r="B5080" s="19"/>
      <c r="C5080" s="19"/>
      <c r="D5080" s="19"/>
      <c r="E5080" s="19"/>
      <c r="F5080" s="19"/>
      <c r="G5080" s="19"/>
      <c r="H5080" s="19"/>
      <c r="I5080" s="19"/>
      <c r="J5080" s="19"/>
      <c r="K5080" s="19"/>
      <c r="L5080" s="19"/>
      <c r="M5080" s="20"/>
    </row>
    <row r="5081" spans="1:13" x14ac:dyDescent="0.35">
      <c r="A5081" s="82"/>
      <c r="B5081" s="19"/>
      <c r="C5081" s="19"/>
      <c r="D5081" s="19"/>
      <c r="E5081" s="19"/>
      <c r="F5081" s="19"/>
      <c r="G5081" s="19"/>
      <c r="H5081" s="19"/>
      <c r="I5081" s="19"/>
      <c r="J5081" s="19"/>
      <c r="K5081" s="19"/>
      <c r="L5081" s="19"/>
      <c r="M5081" s="20"/>
    </row>
    <row r="5082" spans="1:13" x14ac:dyDescent="0.35">
      <c r="A5082" s="82"/>
      <c r="B5082" s="19"/>
      <c r="C5082" s="19"/>
      <c r="D5082" s="19"/>
      <c r="E5082" s="19"/>
      <c r="F5082" s="19"/>
      <c r="G5082" s="19"/>
      <c r="H5082" s="19"/>
      <c r="I5082" s="19"/>
      <c r="J5082" s="19"/>
      <c r="K5082" s="19"/>
      <c r="L5082" s="19"/>
      <c r="M5082" s="20"/>
    </row>
    <row r="5083" spans="1:13" x14ac:dyDescent="0.35">
      <c r="A5083" s="82"/>
      <c r="B5083" s="19"/>
      <c r="C5083" s="19"/>
      <c r="D5083" s="19"/>
      <c r="E5083" s="19"/>
      <c r="F5083" s="19"/>
      <c r="G5083" s="19"/>
      <c r="H5083" s="19"/>
      <c r="I5083" s="19"/>
      <c r="J5083" s="19"/>
      <c r="K5083" s="19"/>
      <c r="L5083" s="19"/>
      <c r="M5083" s="20"/>
    </row>
    <row r="5084" spans="1:13" x14ac:dyDescent="0.35">
      <c r="A5084" s="81"/>
      <c r="B5084" s="17"/>
      <c r="C5084" s="17"/>
      <c r="D5084" s="17"/>
      <c r="E5084" s="17"/>
      <c r="F5084" s="17"/>
      <c r="G5084" s="17"/>
      <c r="H5084" s="17"/>
      <c r="I5084" s="17"/>
      <c r="J5084" s="17"/>
      <c r="K5084" s="17"/>
      <c r="L5084" s="17"/>
      <c r="M5084" s="18"/>
    </row>
    <row r="5085" spans="1:13" x14ac:dyDescent="0.35">
      <c r="A5085" s="81"/>
      <c r="B5085" s="17"/>
      <c r="C5085" s="17"/>
      <c r="D5085" s="17"/>
      <c r="E5085" s="17"/>
      <c r="F5085" s="17"/>
      <c r="G5085" s="17"/>
      <c r="H5085" s="17"/>
      <c r="I5085" s="17"/>
      <c r="J5085" s="17"/>
      <c r="K5085" s="17"/>
      <c r="L5085" s="17"/>
      <c r="M5085" s="18"/>
    </row>
    <row r="5086" spans="1:13" x14ac:dyDescent="0.35">
      <c r="A5086" s="82"/>
      <c r="B5086" s="19"/>
      <c r="C5086" s="19"/>
      <c r="D5086" s="19"/>
      <c r="E5086" s="19"/>
      <c r="F5086" s="19"/>
      <c r="G5086" s="19"/>
      <c r="H5086" s="19"/>
      <c r="I5086" s="19"/>
      <c r="J5086" s="19"/>
      <c r="K5086" s="19"/>
      <c r="L5086" s="19"/>
      <c r="M5086" s="20"/>
    </row>
    <row r="5087" spans="1:13" x14ac:dyDescent="0.35">
      <c r="A5087" s="82"/>
      <c r="B5087" s="19"/>
      <c r="C5087" s="19"/>
      <c r="D5087" s="19"/>
      <c r="E5087" s="19"/>
      <c r="F5087" s="19"/>
      <c r="G5087" s="19"/>
      <c r="H5087" s="19"/>
      <c r="I5087" s="19"/>
      <c r="J5087" s="19"/>
      <c r="K5087" s="19"/>
      <c r="L5087" s="19"/>
      <c r="M5087" s="20"/>
    </row>
    <row r="5088" spans="1:13" x14ac:dyDescent="0.35">
      <c r="A5088" s="81"/>
      <c r="B5088" s="17"/>
      <c r="C5088" s="17"/>
      <c r="D5088" s="17"/>
      <c r="E5088" s="17"/>
      <c r="F5088" s="17"/>
      <c r="G5088" s="17"/>
      <c r="H5088" s="17"/>
      <c r="I5088" s="17"/>
      <c r="J5088" s="17"/>
      <c r="K5088" s="17"/>
      <c r="L5088" s="17"/>
      <c r="M5088" s="18"/>
    </row>
    <row r="5089" spans="1:13" x14ac:dyDescent="0.35">
      <c r="A5089" s="81"/>
      <c r="B5089" s="17"/>
      <c r="C5089" s="17"/>
      <c r="D5089" s="17"/>
      <c r="E5089" s="17"/>
      <c r="F5089" s="17"/>
      <c r="G5089" s="17"/>
      <c r="H5089" s="17"/>
      <c r="I5089" s="17"/>
      <c r="J5089" s="17"/>
      <c r="K5089" s="17"/>
      <c r="L5089" s="17"/>
      <c r="M5089" s="18"/>
    </row>
    <row r="5090" spans="1:13" x14ac:dyDescent="0.35">
      <c r="A5090" s="82"/>
      <c r="B5090" s="19"/>
      <c r="C5090" s="19"/>
      <c r="D5090" s="19"/>
      <c r="E5090" s="19"/>
      <c r="F5090" s="19"/>
      <c r="G5090" s="19"/>
      <c r="H5090" s="19"/>
      <c r="I5090" s="19"/>
      <c r="J5090" s="19"/>
      <c r="K5090" s="19"/>
      <c r="L5090" s="19"/>
      <c r="M5090" s="20"/>
    </row>
    <row r="5091" spans="1:13" x14ac:dyDescent="0.35">
      <c r="A5091" s="82"/>
      <c r="B5091" s="19"/>
      <c r="C5091" s="19"/>
      <c r="D5091" s="19"/>
      <c r="E5091" s="19"/>
      <c r="F5091" s="19"/>
      <c r="G5091" s="19"/>
      <c r="H5091" s="19"/>
      <c r="I5091" s="19"/>
      <c r="J5091" s="19"/>
      <c r="K5091" s="19"/>
      <c r="L5091" s="19"/>
      <c r="M5091" s="20"/>
    </row>
    <row r="5092" spans="1:13" x14ac:dyDescent="0.35">
      <c r="A5092" s="81"/>
      <c r="B5092" s="17"/>
      <c r="C5092" s="17"/>
      <c r="D5092" s="17"/>
      <c r="E5092" s="17"/>
      <c r="F5092" s="17"/>
      <c r="G5092" s="17"/>
      <c r="H5092" s="17"/>
      <c r="I5092" s="17"/>
      <c r="J5092" s="17"/>
      <c r="K5092" s="17"/>
      <c r="L5092" s="17"/>
      <c r="M5092" s="18"/>
    </row>
    <row r="5093" spans="1:13" x14ac:dyDescent="0.35">
      <c r="A5093" s="82"/>
      <c r="B5093" s="19"/>
      <c r="C5093" s="19"/>
      <c r="D5093" s="19"/>
      <c r="E5093" s="19"/>
      <c r="F5093" s="19"/>
      <c r="G5093" s="19"/>
      <c r="H5093" s="19"/>
      <c r="I5093" s="19"/>
      <c r="J5093" s="19"/>
      <c r="K5093" s="19"/>
      <c r="L5093" s="19"/>
      <c r="M5093" s="20"/>
    </row>
  </sheetData>
  <sortState xmlns:xlrd2="http://schemas.microsoft.com/office/spreadsheetml/2017/richdata2" ref="A2:S1035">
    <sortCondition ref="A2:A1035"/>
  </sortState>
  <pageMargins left="0.7" right="0.7" top="0.75" bottom="0.75" header="0.3" footer="0.3"/>
  <pageSetup paperSize="9" orientation="portrait" verticalDpi="0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1EB8F0-4DA1-44E3-9CFF-9BBE209A5D22}">
  <sheetPr codeName="Feuil9">
    <pageSetUpPr fitToPage="1"/>
  </sheetPr>
  <dimension ref="A1:AA38"/>
  <sheetViews>
    <sheetView topLeftCell="A22" workbookViewId="0">
      <selection activeCell="T4" sqref="T4"/>
    </sheetView>
  </sheetViews>
  <sheetFormatPr baseColWidth="10" defaultRowHeight="14.5" x14ac:dyDescent="0.35"/>
  <cols>
    <col min="2" max="2" width="18.453125" customWidth="1"/>
    <col min="3" max="3" width="8.6328125" customWidth="1"/>
    <col min="4" max="4" width="9.26953125" customWidth="1"/>
    <col min="5" max="5" width="8.08984375" customWidth="1"/>
    <col min="6" max="6" width="7.1796875" customWidth="1"/>
    <col min="7" max="9" width="7.54296875" customWidth="1"/>
    <col min="10" max="10" width="7.26953125" customWidth="1"/>
    <col min="15" max="15" width="7.81640625" customWidth="1"/>
    <col min="16" max="16" width="30.54296875" customWidth="1"/>
    <col min="19" max="19" width="8.26953125" customWidth="1"/>
    <col min="20" max="20" width="31.81640625" customWidth="1"/>
    <col min="21" max="21" width="16.7265625" customWidth="1"/>
    <col min="22" max="22" width="18.453125" customWidth="1"/>
    <col min="26" max="26" width="14.26953125" customWidth="1"/>
  </cols>
  <sheetData>
    <row r="1" spans="1:27" ht="15.5" customHeight="1" x14ac:dyDescent="0.35">
      <c r="A1" s="462" t="s">
        <v>216</v>
      </c>
      <c r="B1" s="463"/>
      <c r="C1" s="463"/>
      <c r="D1" s="463"/>
      <c r="E1" s="463"/>
      <c r="F1" s="463"/>
      <c r="G1" s="463"/>
      <c r="H1" s="463"/>
      <c r="I1" s="463"/>
      <c r="J1" s="463"/>
      <c r="K1" s="463"/>
      <c r="L1" s="463"/>
      <c r="M1" s="463"/>
      <c r="N1" s="464"/>
      <c r="P1" s="439" t="s">
        <v>27</v>
      </c>
      <c r="Q1" s="439"/>
      <c r="R1" s="439"/>
      <c r="T1" s="435" t="s">
        <v>140</v>
      </c>
      <c r="U1" s="436"/>
      <c r="V1" s="437"/>
    </row>
    <row r="2" spans="1:27" ht="16" customHeight="1" thickBot="1" x14ac:dyDescent="0.4">
      <c r="A2" s="465"/>
      <c r="B2" s="466"/>
      <c r="C2" s="466"/>
      <c r="D2" s="466"/>
      <c r="E2" s="466"/>
      <c r="F2" s="466"/>
      <c r="G2" s="466"/>
      <c r="H2" s="466"/>
      <c r="I2" s="466"/>
      <c r="J2" s="466"/>
      <c r="K2" s="466"/>
      <c r="L2" s="466"/>
      <c r="M2" s="466"/>
      <c r="N2" s="467"/>
      <c r="P2" s="450"/>
      <c r="Q2" s="450"/>
      <c r="R2" s="450"/>
      <c r="T2" s="438"/>
      <c r="U2" s="439"/>
      <c r="V2" s="440"/>
    </row>
    <row r="3" spans="1:27" ht="36.5" thickBot="1" x14ac:dyDescent="0.4">
      <c r="A3" s="451" t="s">
        <v>28</v>
      </c>
      <c r="B3" s="282"/>
      <c r="C3" s="10" t="s">
        <v>11</v>
      </c>
      <c r="D3" s="10" t="s">
        <v>29</v>
      </c>
      <c r="E3" s="10" t="s">
        <v>20</v>
      </c>
      <c r="F3" s="10" t="s">
        <v>10</v>
      </c>
      <c r="G3" s="10" t="s">
        <v>30</v>
      </c>
      <c r="H3" s="10" t="s">
        <v>358</v>
      </c>
      <c r="I3" s="10" t="s">
        <v>359</v>
      </c>
      <c r="J3" s="10" t="s">
        <v>13</v>
      </c>
      <c r="K3" s="10" t="s">
        <v>31</v>
      </c>
      <c r="L3" s="10" t="s">
        <v>224</v>
      </c>
      <c r="M3" s="10" t="s">
        <v>388</v>
      </c>
      <c r="N3" s="283" t="s">
        <v>389</v>
      </c>
      <c r="P3" s="54"/>
      <c r="Q3" s="55" t="s">
        <v>281</v>
      </c>
      <c r="R3" s="56" t="s">
        <v>65</v>
      </c>
      <c r="S3" s="63" t="s">
        <v>141</v>
      </c>
      <c r="T3" s="64">
        <v>4</v>
      </c>
      <c r="U3" s="44" t="s">
        <v>281</v>
      </c>
      <c r="V3" s="47" t="s">
        <v>65</v>
      </c>
    </row>
    <row r="4" spans="1:27" x14ac:dyDescent="0.35">
      <c r="A4" s="452"/>
      <c r="B4" s="242" t="s">
        <v>32</v>
      </c>
      <c r="C4" s="1">
        <f>COUNTIFS('Données brutes'!F:F,"But",'Données brutes'!D:D,"Att 0-6")</f>
        <v>37</v>
      </c>
      <c r="D4" s="1">
        <f>COUNTIFS('Données brutes'!F:F,"7m / 7m 2min",'Données brutes'!D:D,"Att 0-6")</f>
        <v>8</v>
      </c>
      <c r="E4" s="1">
        <f>COUNTIFS('Données brutes'!F:F,"Ar GB",'Données brutes'!D:D,"Att 0-6")</f>
        <v>25</v>
      </c>
      <c r="F4" s="1">
        <f>COUNTIFS('Données brutes'!F:F,"HC",'Données brutes'!D:D,"Att 0-6")</f>
        <v>22</v>
      </c>
      <c r="G4" s="1">
        <f>COUNTIFS('Données brutes'!F:F,"PDB",'Données brutes'!D:D,"Att 0-6")</f>
        <v>26</v>
      </c>
      <c r="H4" s="1">
        <f>COUNTIFS('Données brutes'!F:F,"tir raté NC",'Données brutes'!D:D,"Att 0-6")</f>
        <v>5</v>
      </c>
      <c r="I4" s="354">
        <f>COUNTIFS('Données brutes'!F:F,"Arret NC",'Données brutes'!D:D,"Att 0-6")</f>
        <v>1</v>
      </c>
      <c r="J4" s="1">
        <f>COUNTIFS('Données brutes'!F:F,"Neut Contre",'Données brutes'!D:D,"Att 0-6")</f>
        <v>30</v>
      </c>
      <c r="K4" s="243">
        <f>(C4+D4)/(C4+D4+E4+F4+G4)</f>
        <v>0.38135593220338981</v>
      </c>
      <c r="L4" s="460">
        <v>0.44</v>
      </c>
      <c r="M4" s="245">
        <f>SUM(C4:G4)</f>
        <v>118</v>
      </c>
      <c r="N4" s="249">
        <f>M4/$M$12</f>
        <v>0.80821917808219179</v>
      </c>
      <c r="P4" s="51" t="s">
        <v>33</v>
      </c>
      <c r="Q4" s="52">
        <f>C12+C18+C35</f>
        <v>106</v>
      </c>
      <c r="R4" s="53">
        <f>C24+C34+C36</f>
        <v>120</v>
      </c>
      <c r="S4" s="43"/>
      <c r="T4" s="51" t="s">
        <v>33</v>
      </c>
      <c r="U4" s="25">
        <f>Q4/$T$3</f>
        <v>26.5</v>
      </c>
      <c r="V4" s="65">
        <f>R4/$T$3</f>
        <v>30</v>
      </c>
    </row>
    <row r="5" spans="1:27" x14ac:dyDescent="0.35">
      <c r="A5" s="452"/>
      <c r="B5" s="242" t="s">
        <v>62</v>
      </c>
      <c r="C5" s="1">
        <f>COUNTIFS('Données brutes'!F:F,"But",'Données brutes'!D:D,"Att 1-5")</f>
        <v>5</v>
      </c>
      <c r="D5" s="1">
        <f>COUNTIFS('Données brutes'!F:F,"7m / 7m 2min",'Données brutes'!D:D,"Att 1-5")</f>
        <v>1</v>
      </c>
      <c r="E5" s="1">
        <f>COUNTIFS('Données brutes'!F:F,"Ar GB",'Données brutes'!D:D,"Att 1-5")</f>
        <v>3</v>
      </c>
      <c r="F5" s="1">
        <f>COUNTIFS('Données brutes'!F:F,"HC",'Données brutes'!D:D,"Att 1-5")</f>
        <v>5</v>
      </c>
      <c r="G5" s="1">
        <f>COUNTIFS('Données brutes'!F:F,"PDB",'Données brutes'!D:D,"Att 1-5")</f>
        <v>2</v>
      </c>
      <c r="H5" s="1">
        <f>COUNTIFS('Données brutes'!F:F,"tir raté NC",'Données brutes'!D:D,"Att 1-5")</f>
        <v>2</v>
      </c>
      <c r="I5" s="354">
        <f>COUNTIFS('Données brutes'!F:F,"Arret NC",'Données brutes'!D:D,"Att 1-5")</f>
        <v>0</v>
      </c>
      <c r="J5" s="1">
        <f>COUNTIFS('Données brutes'!F:F,"Neut Contre",'Données brutes'!D:D,"Att 1-5")</f>
        <v>7</v>
      </c>
      <c r="K5" s="243">
        <f t="shared" ref="K5:K6" si="0">(C5+D5)/(C5+D5+E5+F5+G5)</f>
        <v>0.375</v>
      </c>
      <c r="L5" s="460"/>
      <c r="M5" s="245">
        <f t="shared" ref="M5:M38" si="1">SUM(C5:G5)</f>
        <v>16</v>
      </c>
      <c r="N5" s="249">
        <f t="shared" ref="N5:N12" si="2">M5/$M$12</f>
        <v>0.1095890410958904</v>
      </c>
      <c r="P5" s="46" t="s">
        <v>34</v>
      </c>
      <c r="Q5" s="3">
        <f>E24+E34+E36</f>
        <v>38</v>
      </c>
      <c r="R5" s="47">
        <f>E12+E18+E35</f>
        <v>52</v>
      </c>
      <c r="S5" s="43"/>
      <c r="T5" s="46" t="s">
        <v>34</v>
      </c>
      <c r="U5" s="25">
        <f t="shared" ref="U5:U17" si="3">Q5/$T$3</f>
        <v>9.5</v>
      </c>
      <c r="V5" s="65">
        <f t="shared" ref="V5:V17" si="4">R5/$T$3</f>
        <v>13</v>
      </c>
    </row>
    <row r="6" spans="1:27" x14ac:dyDescent="0.35">
      <c r="A6" s="452"/>
      <c r="B6" s="242" t="s">
        <v>63</v>
      </c>
      <c r="C6" s="1">
        <f>COUNTIFS('Données brutes'!F:F,"But",'Données brutes'!D:D,"Att Autres")</f>
        <v>0</v>
      </c>
      <c r="D6" s="1">
        <f>COUNTIFS('Données brutes'!F:F,"7m / 7m 2min",'Données brutes'!D:D,"Att Autres")</f>
        <v>0</v>
      </c>
      <c r="E6" s="1">
        <f>COUNTIFS('Données brutes'!F:F,"Ar GB",'Données brutes'!D:D,"Att Autres")</f>
        <v>1</v>
      </c>
      <c r="F6" s="1">
        <f>COUNTIFS('Données brutes'!F:F,"HC",'Données brutes'!D:D,"Att Autres")</f>
        <v>0</v>
      </c>
      <c r="G6" s="1">
        <f>COUNTIFS('Données brutes'!F:F,"PDB",'Données brutes'!D:D,"Att Autres")</f>
        <v>0</v>
      </c>
      <c r="H6" s="1">
        <f>COUNTIFS('Données brutes'!F:F,"tir raté NC",'Données brutes'!D:D,"Att Autres")</f>
        <v>0</v>
      </c>
      <c r="I6" s="354">
        <f>COUNTIFS('Données brutes'!F:F,"Arret NC",'Données brutes'!D:D,"Att Autres")</f>
        <v>0</v>
      </c>
      <c r="J6" s="1">
        <f>COUNTIFS('Données brutes'!F:F,"Neut Contre",'Données brutes'!D:D,"Att Autres")</f>
        <v>0</v>
      </c>
      <c r="K6" s="243">
        <f t="shared" si="0"/>
        <v>0</v>
      </c>
      <c r="L6" s="460"/>
      <c r="M6" s="245">
        <f t="shared" si="1"/>
        <v>1</v>
      </c>
      <c r="N6" s="249">
        <f t="shared" si="2"/>
        <v>6.8493150684931503E-3</v>
      </c>
      <c r="P6" s="46" t="s">
        <v>10</v>
      </c>
      <c r="Q6" s="3">
        <f>F12+F18+F35</f>
        <v>35</v>
      </c>
      <c r="R6" s="47">
        <f>F24+F34+F36</f>
        <v>28</v>
      </c>
      <c r="S6" s="43"/>
      <c r="T6" s="46" t="s">
        <v>10</v>
      </c>
      <c r="U6" s="25">
        <f t="shared" si="3"/>
        <v>8.75</v>
      </c>
      <c r="V6" s="65">
        <f t="shared" si="4"/>
        <v>7</v>
      </c>
    </row>
    <row r="7" spans="1:27" x14ac:dyDescent="0.35">
      <c r="A7" s="452"/>
      <c r="B7" s="246" t="s">
        <v>35</v>
      </c>
      <c r="C7" s="2">
        <f t="shared" ref="C7:J7" si="5">SUM(C4:C6)</f>
        <v>42</v>
      </c>
      <c r="D7" s="2">
        <f t="shared" si="5"/>
        <v>9</v>
      </c>
      <c r="E7" s="2">
        <f t="shared" si="5"/>
        <v>29</v>
      </c>
      <c r="F7" s="2">
        <f t="shared" si="5"/>
        <v>27</v>
      </c>
      <c r="G7" s="2">
        <f t="shared" si="5"/>
        <v>28</v>
      </c>
      <c r="H7" s="2">
        <f t="shared" si="5"/>
        <v>7</v>
      </c>
      <c r="I7" s="355">
        <f t="shared" si="5"/>
        <v>1</v>
      </c>
      <c r="J7" s="2">
        <f t="shared" si="5"/>
        <v>37</v>
      </c>
      <c r="K7" s="247">
        <f t="shared" ref="K7:K12" si="6">(C7+D7)/(C7+D7+E7+F7+G7)</f>
        <v>0.37777777777777777</v>
      </c>
      <c r="L7" s="460"/>
      <c r="M7" s="245">
        <f t="shared" si="1"/>
        <v>135</v>
      </c>
      <c r="N7" s="249">
        <f t="shared" si="2"/>
        <v>0.92465753424657537</v>
      </c>
      <c r="P7" s="46" t="s">
        <v>37</v>
      </c>
      <c r="Q7" s="4">
        <f>Q4/(Q4+R5+Q6)</f>
        <v>0.54922279792746109</v>
      </c>
      <c r="R7" s="48">
        <f>R4/(R4+Q5+R6)</f>
        <v>0.64516129032258063</v>
      </c>
      <c r="S7" s="43"/>
      <c r="T7" s="66"/>
      <c r="U7" s="26"/>
      <c r="V7" s="67"/>
      <c r="Z7" t="s">
        <v>39</v>
      </c>
      <c r="AA7">
        <v>22.285714285714285</v>
      </c>
    </row>
    <row r="8" spans="1:27" x14ac:dyDescent="0.35">
      <c r="A8" s="452"/>
      <c r="B8" s="242" t="s">
        <v>36</v>
      </c>
      <c r="C8" s="1">
        <f>COUNTIFS('Données brutes'!F:F,"But",'Données brutes'!D:D,"Att 6 c 5")</f>
        <v>5</v>
      </c>
      <c r="D8" s="1">
        <f>COUNTIFS('Données brutes'!F:F,"7m / 7m 2min",'Données brutes'!D:D,"Att 6 c 5")</f>
        <v>1</v>
      </c>
      <c r="E8" s="1">
        <f>COUNTIFS('Données brutes'!F:F,"Ar GB",'Données brutes'!D:D,"Att 6 c 5")</f>
        <v>1</v>
      </c>
      <c r="F8" s="1">
        <f>COUNTIFS('Données brutes'!F:F,"HC",'Données brutes'!D:D,"Att 6 c 5")</f>
        <v>0</v>
      </c>
      <c r="G8" s="1">
        <f>COUNTIFS('Données brutes'!F:F,"PDB",'Données brutes'!D:D,"Att 6 c 5")</f>
        <v>3</v>
      </c>
      <c r="H8" s="353">
        <f>COUNTIFS('Données brutes'!F:F,"tir raté NC",'Données brutes'!D:D,"Att 6 c 5")</f>
        <v>0</v>
      </c>
      <c r="I8" s="354">
        <f>COUNTIFS('Données brutes'!H:H,"PDB",'Données brutes'!F:F,"Att 6 c 5")</f>
        <v>0</v>
      </c>
      <c r="J8" s="1">
        <f>COUNTIFS('Données brutes'!F:F,"Neut Contre",'Données brutes'!D:D,"Att 6 c 5")</f>
        <v>1</v>
      </c>
      <c r="K8" s="243">
        <f t="shared" si="6"/>
        <v>0.6</v>
      </c>
      <c r="L8" s="244">
        <v>0.6</v>
      </c>
      <c r="M8" s="245">
        <f t="shared" si="1"/>
        <v>10</v>
      </c>
      <c r="N8" s="249">
        <f t="shared" si="2"/>
        <v>6.8493150684931503E-2</v>
      </c>
      <c r="P8" s="46" t="s">
        <v>39</v>
      </c>
      <c r="Q8" s="3">
        <f>SUM(C18:G18)</f>
        <v>110</v>
      </c>
      <c r="R8" s="47">
        <f>SUM(C24:G24)</f>
        <v>80</v>
      </c>
      <c r="S8" s="43"/>
      <c r="T8" s="46" t="s">
        <v>39</v>
      </c>
      <c r="U8" s="25">
        <f t="shared" si="3"/>
        <v>27.5</v>
      </c>
      <c r="V8" s="65">
        <f t="shared" si="4"/>
        <v>20</v>
      </c>
      <c r="Z8" t="s">
        <v>69</v>
      </c>
      <c r="AA8">
        <v>37.285714285714285</v>
      </c>
    </row>
    <row r="9" spans="1:27" x14ac:dyDescent="0.35">
      <c r="A9" s="452"/>
      <c r="B9" s="242" t="s">
        <v>38</v>
      </c>
      <c r="C9" s="1">
        <f>COUNTIFS('Données brutes'!F:F,"But",'Données brutes'!D:D,"Att 5 c 6")</f>
        <v>0</v>
      </c>
      <c r="D9" s="1">
        <f>COUNTIFS('Données brutes'!F:F,"7m / 7m 2min",'Données brutes'!D:D,"Att 5 c 6")</f>
        <v>0</v>
      </c>
      <c r="E9" s="1">
        <f>COUNTIFS('Données brutes'!F:F,"Ar GB",'Données brutes'!D:D,"Att 5 c 6")</f>
        <v>0</v>
      </c>
      <c r="F9" s="1">
        <f>COUNTIFS('Données brutes'!F:F,"HC",'Données brutes'!D:D,"Att 5 c 6")</f>
        <v>0</v>
      </c>
      <c r="G9" s="1">
        <f>COUNTIFS('Données brutes'!F:F,"PDB",'Données brutes'!D:D,"Att 5 c 6")</f>
        <v>0</v>
      </c>
      <c r="H9" s="353">
        <f>COUNTIFS('Données brutes'!F:F,"tir raté NC",'Données brutes'!D:D,"Att 5 c 6")</f>
        <v>0</v>
      </c>
      <c r="I9" s="354">
        <f>COUNTIFS('Données brutes'!H:H,"PDB",'Données brutes'!F:F,"Att 5 c 6")</f>
        <v>0</v>
      </c>
      <c r="J9" s="1">
        <f>COUNTIFS('Données brutes'!F:F,"Neut Contre",'Données brutes'!D:D,"Att 5 c 6")</f>
        <v>0</v>
      </c>
      <c r="K9" s="243" t="e">
        <f t="shared" si="6"/>
        <v>#DIV/0!</v>
      </c>
      <c r="L9" s="248"/>
      <c r="M9" s="245">
        <f t="shared" si="1"/>
        <v>0</v>
      </c>
      <c r="N9" s="249">
        <f t="shared" si="2"/>
        <v>0</v>
      </c>
      <c r="P9" s="46" t="s">
        <v>41</v>
      </c>
      <c r="Q9" s="3">
        <f>C18+D18</f>
        <v>55</v>
      </c>
      <c r="R9" s="47">
        <f>C24+D24</f>
        <v>43</v>
      </c>
      <c r="S9" s="43"/>
      <c r="T9" s="46" t="s">
        <v>41</v>
      </c>
      <c r="U9" s="25">
        <f t="shared" si="3"/>
        <v>13.75</v>
      </c>
      <c r="V9" s="65">
        <f t="shared" si="4"/>
        <v>10.75</v>
      </c>
    </row>
    <row r="10" spans="1:27" x14ac:dyDescent="0.35">
      <c r="A10" s="452"/>
      <c r="B10" s="242" t="s">
        <v>40</v>
      </c>
      <c r="C10" s="1">
        <f>COUNTIFS('Données brutes'!F:F,"But",'Données brutes'!D:D,"Att 7 c 6")</f>
        <v>0</v>
      </c>
      <c r="D10" s="1">
        <f>COUNTIFS('Données brutes'!F:F,"7m / 7m 2min",'Données brutes'!D:D,"Att 7 c 6")</f>
        <v>0</v>
      </c>
      <c r="E10" s="1">
        <f>COUNTIFS('Données brutes'!F:F,"Ar GB",'Données brutes'!D:D,"Att 7 c 6")</f>
        <v>0</v>
      </c>
      <c r="F10" s="1">
        <f>COUNTIFS('Données brutes'!F:F,"HC",'Données brutes'!D:D,"Att 7 c 6")</f>
        <v>0</v>
      </c>
      <c r="G10" s="1">
        <f>COUNTIFS('Données brutes'!F:F,"PDB",'Données brutes'!D:D,"Att 7 c 6")</f>
        <v>0</v>
      </c>
      <c r="H10" s="353">
        <f>COUNTIFS('Données brutes'!F:F,"tir raté NC",'Données brutes'!D:D,"Att 7 c 6")</f>
        <v>0</v>
      </c>
      <c r="I10" s="354">
        <f>COUNTIFS('Données brutes'!H:H,"PDB",'Données brutes'!F:F,"Att 7 c 6")</f>
        <v>0</v>
      </c>
      <c r="J10" s="1">
        <f>COUNTIFS('Données brutes'!F:F,"Neut Contre",'Données brutes'!D:D,"Att 7 c 6")</f>
        <v>0</v>
      </c>
      <c r="K10" s="243" t="e">
        <f t="shared" si="6"/>
        <v>#DIV/0!</v>
      </c>
      <c r="L10" s="248"/>
      <c r="M10" s="245">
        <f t="shared" si="1"/>
        <v>0</v>
      </c>
      <c r="N10" s="249">
        <f t="shared" si="2"/>
        <v>0</v>
      </c>
      <c r="P10" s="46" t="s">
        <v>69</v>
      </c>
      <c r="Q10" s="3">
        <f>SUM(C12:G12)</f>
        <v>146</v>
      </c>
      <c r="R10" s="47">
        <f>SUM(C34:G34)</f>
        <v>170</v>
      </c>
      <c r="S10" s="43"/>
      <c r="T10" s="46" t="s">
        <v>69</v>
      </c>
      <c r="U10" s="25">
        <f t="shared" si="3"/>
        <v>36.5</v>
      </c>
      <c r="V10" s="65">
        <f t="shared" si="4"/>
        <v>42.5</v>
      </c>
    </row>
    <row r="11" spans="1:27" x14ac:dyDescent="0.35">
      <c r="A11" s="452"/>
      <c r="B11" s="242" t="s">
        <v>42</v>
      </c>
      <c r="C11" s="1">
        <f>COUNTIFS('Données brutes'!F:F,"But",'Données brutes'!D:D,"Att 6 c 6 sans GB")</f>
        <v>0</v>
      </c>
      <c r="D11" s="1">
        <f>COUNTIFS('Données brutes'!F:F,"7m / 7m 2min",'Données brutes'!D:D,"Att 6 c 6 sans GB")</f>
        <v>0</v>
      </c>
      <c r="E11" s="1">
        <f>COUNTIFS('Données brutes'!F:F,"Ar GB",'Données brutes'!D:D,"Att 6 c 6 sans GB")</f>
        <v>1</v>
      </c>
      <c r="F11" s="1">
        <f>COUNTIFS('Données brutes'!F:F,"HC",'Données brutes'!D:D,"Att 6 c 6 sans GB")</f>
        <v>0</v>
      </c>
      <c r="G11" s="1">
        <f>COUNTIFS('Données brutes'!F:F,"PDB",'Données brutes'!D:D,"Att 6 c 6 sans GB")</f>
        <v>0</v>
      </c>
      <c r="H11" s="353">
        <f>COUNTIFS('Données brutes'!F:F,"tir raté NC",'Données brutes'!D:D,"Att 6 c 6 sans GB")</f>
        <v>0</v>
      </c>
      <c r="I11" s="354">
        <f>COUNTIFS('Données brutes'!H:H,"PDB",'Données brutes'!F:F,"Att 6 c 6 sans GB")</f>
        <v>0</v>
      </c>
      <c r="J11" s="1">
        <f>COUNTIFS('Données brutes'!F:F,"Neut Contre",'Données brutes'!D:D,"Att 6 c 6 sans GB")</f>
        <v>0</v>
      </c>
      <c r="K11" s="243">
        <f t="shared" si="6"/>
        <v>0</v>
      </c>
      <c r="L11" s="244">
        <v>0.4</v>
      </c>
      <c r="M11" s="245">
        <f t="shared" si="1"/>
        <v>1</v>
      </c>
      <c r="N11" s="249">
        <f t="shared" si="2"/>
        <v>6.8493150684931503E-3</v>
      </c>
      <c r="P11" s="46" t="s">
        <v>44</v>
      </c>
      <c r="Q11" s="4">
        <f>K29</f>
        <v>0.56000000000000005</v>
      </c>
      <c r="R11" s="48">
        <f>1-Q12</f>
        <v>0.62222222222222223</v>
      </c>
      <c r="S11" s="43"/>
      <c r="T11" s="66"/>
      <c r="U11" s="26"/>
      <c r="V11" s="67"/>
    </row>
    <row r="12" spans="1:27" ht="15" thickBot="1" x14ac:dyDescent="0.4">
      <c r="A12" s="453"/>
      <c r="B12" s="272" t="s">
        <v>43</v>
      </c>
      <c r="C12" s="8">
        <f>SUM(C7:C11)</f>
        <v>47</v>
      </c>
      <c r="D12" s="8">
        <f t="shared" ref="D12:J12" si="7">SUM(D7:D11)</f>
        <v>10</v>
      </c>
      <c r="E12" s="8">
        <f t="shared" si="7"/>
        <v>31</v>
      </c>
      <c r="F12" s="8">
        <f t="shared" si="7"/>
        <v>27</v>
      </c>
      <c r="G12" s="8">
        <f t="shared" si="7"/>
        <v>31</v>
      </c>
      <c r="H12" s="8">
        <f t="shared" si="7"/>
        <v>7</v>
      </c>
      <c r="I12" s="356">
        <f t="shared" si="7"/>
        <v>1</v>
      </c>
      <c r="J12" s="8">
        <f t="shared" si="7"/>
        <v>38</v>
      </c>
      <c r="K12" s="273">
        <f t="shared" si="6"/>
        <v>0.3904109589041096</v>
      </c>
      <c r="L12" s="252">
        <v>0.45</v>
      </c>
      <c r="M12" s="253">
        <f t="shared" si="1"/>
        <v>146</v>
      </c>
      <c r="N12" s="274">
        <f t="shared" si="2"/>
        <v>1</v>
      </c>
      <c r="P12" s="46" t="s">
        <v>46</v>
      </c>
      <c r="Q12" s="4">
        <f>K7</f>
        <v>0.37777777777777777</v>
      </c>
      <c r="R12" s="48">
        <f>1-Q11</f>
        <v>0.43999999999999995</v>
      </c>
      <c r="S12" s="43"/>
      <c r="T12" s="66"/>
      <c r="U12" s="26"/>
      <c r="V12" s="67"/>
    </row>
    <row r="13" spans="1:27" ht="36" x14ac:dyDescent="0.35">
      <c r="A13" s="454" t="s">
        <v>45</v>
      </c>
      <c r="B13" s="278"/>
      <c r="C13" s="9" t="s">
        <v>11</v>
      </c>
      <c r="D13" s="9" t="s">
        <v>29</v>
      </c>
      <c r="E13" s="9" t="s">
        <v>20</v>
      </c>
      <c r="F13" s="9" t="s">
        <v>10</v>
      </c>
      <c r="G13" s="9" t="s">
        <v>30</v>
      </c>
      <c r="H13" s="9" t="s">
        <v>358</v>
      </c>
      <c r="I13" s="9" t="s">
        <v>359</v>
      </c>
      <c r="J13" s="9" t="s">
        <v>13</v>
      </c>
      <c r="K13" s="279" t="s">
        <v>21</v>
      </c>
      <c r="L13" s="279"/>
      <c r="M13" s="9" t="s">
        <v>388</v>
      </c>
      <c r="N13" s="280" t="s">
        <v>390</v>
      </c>
      <c r="P13" s="46" t="s">
        <v>47</v>
      </c>
      <c r="Q13" s="3">
        <f>G12+G18</f>
        <v>59</v>
      </c>
      <c r="R13" s="47">
        <f>G24+G34</f>
        <v>63</v>
      </c>
      <c r="S13" s="43"/>
      <c r="T13" s="46" t="s">
        <v>47</v>
      </c>
      <c r="U13" s="25">
        <f t="shared" si="3"/>
        <v>14.75</v>
      </c>
      <c r="V13" s="65">
        <f t="shared" si="4"/>
        <v>15.75</v>
      </c>
    </row>
    <row r="14" spans="1:27" x14ac:dyDescent="0.35">
      <c r="A14" s="455"/>
      <c r="B14" s="242" t="s">
        <v>12</v>
      </c>
      <c r="C14" s="1">
        <f>COUNTIFS('Données brutes'!F:F,"But",'Données brutes'!I:I,"CA MB")</f>
        <v>13</v>
      </c>
      <c r="D14" s="1">
        <f>COUNTIFS('Données brutes'!F:F,"7m / 7m 2min",'Données brutes'!I:I,"CA MB")</f>
        <v>2</v>
      </c>
      <c r="E14" s="1">
        <f>COUNTIFS('Données brutes'!F:F,"Ar GB",'Données brutes'!I:I,"CA MB")</f>
        <v>4</v>
      </c>
      <c r="F14" s="1">
        <f>COUNTIFS('Données brutes'!F:F,"HC",'Données brutes'!I:I,"CA MB")</f>
        <v>1</v>
      </c>
      <c r="G14" s="1">
        <f>COUNTIFS('Données brutes'!F:F,"PDB",'Données brutes'!I:I,"CA MB")</f>
        <v>9</v>
      </c>
      <c r="H14" s="353">
        <f>COUNTIFS('Données brutes'!F:F,"tir raté NC",'Données brutes'!I:I,"CA MB")</f>
        <v>2</v>
      </c>
      <c r="I14" s="354">
        <f>COUNTIFS('Données brutes'!H:H,"PDB",'Données brutes'!K:K,"CA MB")</f>
        <v>0</v>
      </c>
      <c r="J14" s="1">
        <f>COUNTIFS('Données brutes'!F:F,"Neut Contre",'Données brutes'!I:I,"CA MB")</f>
        <v>1</v>
      </c>
      <c r="K14" s="243">
        <f>1-((E14+F14+G14)/(C14+D14+E14+F14+G14))</f>
        <v>0.51724137931034475</v>
      </c>
      <c r="L14" s="460">
        <v>0.5</v>
      </c>
      <c r="M14" s="245">
        <f t="shared" si="1"/>
        <v>29</v>
      </c>
      <c r="N14" s="249">
        <f>M14/$M$18</f>
        <v>0.26363636363636361</v>
      </c>
      <c r="P14" s="46" t="s">
        <v>48</v>
      </c>
      <c r="Q14" s="3">
        <f>J24+J34</f>
        <v>74</v>
      </c>
      <c r="R14" s="47">
        <f>J18+J12</f>
        <v>62</v>
      </c>
      <c r="S14" s="43"/>
      <c r="T14" s="46" t="s">
        <v>48</v>
      </c>
      <c r="U14" s="25">
        <f t="shared" si="3"/>
        <v>18.5</v>
      </c>
      <c r="V14" s="65">
        <f t="shared" si="4"/>
        <v>15.5</v>
      </c>
    </row>
    <row r="15" spans="1:27" x14ac:dyDescent="0.35">
      <c r="A15" s="455"/>
      <c r="B15" s="242" t="s">
        <v>19</v>
      </c>
      <c r="C15" s="1">
        <f>COUNTIFS('Données brutes'!F:F,"But",'Données brutes'!I:I,"Transition")</f>
        <v>16</v>
      </c>
      <c r="D15" s="1">
        <f>COUNTIFS('Données brutes'!F:F,"7m / 7m 2min",'Données brutes'!I:I,"Transition")</f>
        <v>4</v>
      </c>
      <c r="E15" s="1">
        <f>COUNTIFS('Données brutes'!F:F,"Ar GB",'Données brutes'!I:I,"Transition")</f>
        <v>9</v>
      </c>
      <c r="F15" s="1">
        <f>COUNTIFS('Données brutes'!F:F,"HC",'Données brutes'!I:I,"Transition")</f>
        <v>1</v>
      </c>
      <c r="G15" s="1">
        <f>COUNTIFS('Données brutes'!F:F,"PDB",'Données brutes'!I:I,"Transition")</f>
        <v>7</v>
      </c>
      <c r="H15" s="353">
        <f>COUNTIFS('Données brutes'!F:F,"tir raté NC",'Données brutes'!I:I,"Transition")</f>
        <v>2</v>
      </c>
      <c r="I15" s="354">
        <f>COUNTIFS('Données brutes'!H:H,"PDB",'Données brutes'!K:K,"Transition")</f>
        <v>0</v>
      </c>
      <c r="J15" s="1">
        <f>COUNTIFS('Données brutes'!F:F,"Neut Contre",'Données brutes'!I:I,"Transition")</f>
        <v>11</v>
      </c>
      <c r="K15" s="243">
        <f t="shared" ref="K15:K18" si="8">1-((E15+F15+G15)/(C15+D15+E15+F15+G15))</f>
        <v>0.54054054054054057</v>
      </c>
      <c r="L15" s="460"/>
      <c r="M15" s="245">
        <f t="shared" si="1"/>
        <v>37</v>
      </c>
      <c r="N15" s="249">
        <f t="shared" ref="N15:N18" si="9">M15/$M$18</f>
        <v>0.33636363636363636</v>
      </c>
      <c r="P15" s="46" t="s">
        <v>67</v>
      </c>
      <c r="Q15" s="11">
        <f>K37</f>
        <v>0.4375</v>
      </c>
      <c r="R15" s="49">
        <f>K38</f>
        <v>0.48399999999999999</v>
      </c>
      <c r="S15" s="43"/>
      <c r="T15" s="68"/>
      <c r="U15" s="57">
        <f t="shared" si="3"/>
        <v>0.109375</v>
      </c>
      <c r="V15" s="69">
        <f t="shared" si="4"/>
        <v>0.121</v>
      </c>
    </row>
    <row r="16" spans="1:27" x14ac:dyDescent="0.35">
      <c r="A16" s="455"/>
      <c r="B16" s="242" t="s">
        <v>16</v>
      </c>
      <c r="C16" s="1">
        <f>COUNTIFS('Données brutes'!F:F,"But",'Données brutes'!I:I,"ER")</f>
        <v>15</v>
      </c>
      <c r="D16" s="1">
        <f>COUNTIFS('Données brutes'!F:F,"7m / 7m 2min",'Données brutes'!I:I,"ER")</f>
        <v>4</v>
      </c>
      <c r="E16" s="1">
        <f>COUNTIFS('Données brutes'!F:F,"Ar GB",'Données brutes'!I:I,"ER")</f>
        <v>7</v>
      </c>
      <c r="F16" s="1">
        <f>COUNTIFS('Données brutes'!F:F,"HC",'Données brutes'!I:I,"ER")</f>
        <v>4</v>
      </c>
      <c r="G16" s="1">
        <f>COUNTIFS('Données brutes'!F:F,"PDB",'Données brutes'!I:I,"ER")</f>
        <v>12</v>
      </c>
      <c r="H16" s="353">
        <f>COUNTIFS('Données brutes'!F:F,"tir raté NC",'Données brutes'!I:I,"ER")</f>
        <v>1</v>
      </c>
      <c r="I16" s="354">
        <f>COUNTIFS('Données brutes'!H:H,"PDB",'Données brutes'!K:K,"ER")</f>
        <v>0</v>
      </c>
      <c r="J16" s="1">
        <f>COUNTIFS('Données brutes'!F:F,"Neut Contre",'Données brutes'!I:I,"ER")</f>
        <v>12</v>
      </c>
      <c r="K16" s="243">
        <f t="shared" si="8"/>
        <v>0.45238095238095233</v>
      </c>
      <c r="L16" s="460"/>
      <c r="M16" s="245">
        <f t="shared" si="1"/>
        <v>42</v>
      </c>
      <c r="N16" s="249">
        <f t="shared" si="9"/>
        <v>0.38181818181818183</v>
      </c>
      <c r="P16" s="46" t="s">
        <v>68</v>
      </c>
      <c r="Q16" s="11">
        <f>1-R15</f>
        <v>0.51600000000000001</v>
      </c>
      <c r="R16" s="49">
        <f>1-Q15</f>
        <v>0.5625</v>
      </c>
      <c r="S16" s="43"/>
      <c r="T16" s="68"/>
      <c r="U16" s="57">
        <f t="shared" si="3"/>
        <v>0.129</v>
      </c>
      <c r="V16" s="69">
        <f t="shared" si="4"/>
        <v>0.140625</v>
      </c>
    </row>
    <row r="17" spans="1:22" ht="15" thickBot="1" x14ac:dyDescent="0.4">
      <c r="A17" s="455"/>
      <c r="B17" s="242" t="s">
        <v>22</v>
      </c>
      <c r="C17" s="1">
        <f>COUNTIFS('Données brutes'!F:F,"But",'Données brutes'!I:I,"But Vide")</f>
        <v>1</v>
      </c>
      <c r="D17" s="1">
        <f>COUNTIFS('Données brutes'!F:F,"7m / 7m 2min",'Données brutes'!I:I,"But Vide")</f>
        <v>0</v>
      </c>
      <c r="E17" s="1">
        <f>COUNTIFS('Données brutes'!F:F,"Ar GB",'Données brutes'!I:I,"But Vide")</f>
        <v>0</v>
      </c>
      <c r="F17" s="1">
        <f>COUNTIFS('Données brutes'!F:F,"HC",'Données brutes'!I:I,"But Vide")</f>
        <v>1</v>
      </c>
      <c r="G17" s="1">
        <f>COUNTIFS('Données brutes'!F:F,"PDB",'Données brutes'!I:I,"But Vide")</f>
        <v>0</v>
      </c>
      <c r="H17" s="353">
        <f>COUNTIFS('Données brutes'!F:F,"tir raté NC",'Données brutes'!I:I,"But Vide")</f>
        <v>0</v>
      </c>
      <c r="I17" s="354">
        <f>COUNTIFS('Données brutes'!H:H,"PDB",'Données brutes'!K:K,"But Vide")</f>
        <v>0</v>
      </c>
      <c r="J17" s="1">
        <f>COUNTIFS('Données brutes'!F:F,"Neut Contre",'Données brutes'!I:I,"But Vide")</f>
        <v>0</v>
      </c>
      <c r="K17" s="243">
        <f t="shared" si="8"/>
        <v>0.5</v>
      </c>
      <c r="L17" s="460"/>
      <c r="M17" s="245">
        <f t="shared" si="1"/>
        <v>2</v>
      </c>
      <c r="N17" s="249">
        <f t="shared" si="9"/>
        <v>1.8181818181818181E-2</v>
      </c>
      <c r="P17" s="50" t="s">
        <v>222</v>
      </c>
      <c r="Q17" s="15">
        <f>Q10+Q8</f>
        <v>256</v>
      </c>
      <c r="R17" s="58">
        <f>R10+R8</f>
        <v>250</v>
      </c>
      <c r="S17" s="43"/>
      <c r="T17" s="70" t="s">
        <v>223</v>
      </c>
      <c r="U17" s="71">
        <f t="shared" si="3"/>
        <v>64</v>
      </c>
      <c r="V17" s="72">
        <f t="shared" si="4"/>
        <v>62.5</v>
      </c>
    </row>
    <row r="18" spans="1:22" ht="15" thickBot="1" x14ac:dyDescent="0.4">
      <c r="A18" s="456"/>
      <c r="B18" s="272" t="s">
        <v>23</v>
      </c>
      <c r="C18" s="8">
        <f t="shared" ref="C18:J18" si="10">+SUM(C14:C17)</f>
        <v>45</v>
      </c>
      <c r="D18" s="8">
        <f t="shared" si="10"/>
        <v>10</v>
      </c>
      <c r="E18" s="8">
        <f t="shared" si="10"/>
        <v>20</v>
      </c>
      <c r="F18" s="8">
        <f t="shared" si="10"/>
        <v>7</v>
      </c>
      <c r="G18" s="8">
        <f t="shared" si="10"/>
        <v>28</v>
      </c>
      <c r="H18" s="357">
        <f t="shared" si="10"/>
        <v>5</v>
      </c>
      <c r="I18" s="356">
        <f t="shared" si="10"/>
        <v>0</v>
      </c>
      <c r="J18" s="8">
        <f t="shared" si="10"/>
        <v>24</v>
      </c>
      <c r="K18" s="281">
        <f t="shared" si="8"/>
        <v>0.5</v>
      </c>
      <c r="L18" s="461"/>
      <c r="M18" s="253">
        <f t="shared" si="1"/>
        <v>110</v>
      </c>
      <c r="N18" s="274">
        <f t="shared" si="9"/>
        <v>1</v>
      </c>
    </row>
    <row r="19" spans="1:22" ht="36" x14ac:dyDescent="0.35">
      <c r="A19" s="457" t="s">
        <v>8</v>
      </c>
      <c r="B19" s="275"/>
      <c r="C19" s="241" t="s">
        <v>11</v>
      </c>
      <c r="D19" s="241" t="s">
        <v>29</v>
      </c>
      <c r="E19" s="241" t="s">
        <v>20</v>
      </c>
      <c r="F19" s="241" t="s">
        <v>10</v>
      </c>
      <c r="G19" s="241" t="s">
        <v>30</v>
      </c>
      <c r="H19" s="241" t="s">
        <v>358</v>
      </c>
      <c r="I19" s="241" t="s">
        <v>359</v>
      </c>
      <c r="J19" s="241" t="s">
        <v>13</v>
      </c>
      <c r="K19" s="276" t="s">
        <v>21</v>
      </c>
      <c r="L19" s="276"/>
      <c r="M19" s="241" t="s">
        <v>388</v>
      </c>
      <c r="N19" s="277" t="s">
        <v>391</v>
      </c>
    </row>
    <row r="20" spans="1:22" x14ac:dyDescent="0.35">
      <c r="A20" s="458"/>
      <c r="B20" s="242" t="s">
        <v>18</v>
      </c>
      <c r="C20" s="1">
        <f>COUNTIFS('Données brutes'!F:F,"But",'Données brutes'!J:J,"Repli CA MB")</f>
        <v>15</v>
      </c>
      <c r="D20" s="1">
        <f>COUNTIFS('Données brutes'!F:F,"7m / 7m 2min",'Données brutes'!J:J,"Repli CA MB")</f>
        <v>0</v>
      </c>
      <c r="E20" s="1">
        <f>COUNTIFS('Données brutes'!F:F,"Ar GB",'Données brutes'!J:J,"Repli CA MB")</f>
        <v>1</v>
      </c>
      <c r="F20" s="1">
        <f>COUNTIFS('Données brutes'!F:F,"HC",'Données brutes'!J:J,"Repli CA MB")</f>
        <v>1</v>
      </c>
      <c r="G20" s="1">
        <f>COUNTIFS('Données brutes'!F:F,"PDB",'Données brutes'!J:J,"Repli CA MB")</f>
        <v>14</v>
      </c>
      <c r="H20" s="354">
        <f>COUNTIFS('Données brutes'!G:G,"PDB",'Données brutes'!K:K,"Repli CA MB")</f>
        <v>0</v>
      </c>
      <c r="I20" s="353">
        <f>COUNTIFS('Données brutes'!F:F,"Arret NC",'Données brutes'!J:J,"Repli CA MB")</f>
        <v>0</v>
      </c>
      <c r="J20" s="1">
        <f>COUNTIFS('Données brutes'!F:F,"Neut Contre",'Données brutes'!J:J,"Repli CA MB")</f>
        <v>2</v>
      </c>
      <c r="K20" s="243">
        <f>(E20+F20+G20)/(C20+D20+E20+F20+G20)</f>
        <v>0.5161290322580645</v>
      </c>
      <c r="L20" s="460">
        <v>0.5</v>
      </c>
      <c r="M20" s="245">
        <f t="shared" si="1"/>
        <v>31</v>
      </c>
      <c r="N20" s="249">
        <f>M20/$M$24</f>
        <v>0.38750000000000001</v>
      </c>
    </row>
    <row r="21" spans="1:22" x14ac:dyDescent="0.35">
      <c r="A21" s="458"/>
      <c r="B21" s="242" t="s">
        <v>24</v>
      </c>
      <c r="C21" s="1">
        <f>COUNTIFS('Données brutes'!F:F,"But",'Données brutes'!J:J,"Repli Transition")</f>
        <v>19</v>
      </c>
      <c r="D21" s="1">
        <f>COUNTIFS('Données brutes'!F:F,"7m / 7m 2min",'Données brutes'!J:J,"Repli Transition")</f>
        <v>3</v>
      </c>
      <c r="E21" s="1">
        <f>COUNTIFS('Données brutes'!F:F,"Ar GB",'Données brutes'!J:J,"Repli Transition")</f>
        <v>2</v>
      </c>
      <c r="F21" s="1">
        <f>COUNTIFS('Données brutes'!F:F,"HC",'Données brutes'!J:J,"Repli Transition")</f>
        <v>1</v>
      </c>
      <c r="G21" s="1">
        <f>COUNTIFS('Données brutes'!F:F,"PDB",'Données brutes'!J:J,"Repli Transition")</f>
        <v>7</v>
      </c>
      <c r="H21" s="354">
        <f>COUNTIFS('Données brutes'!G:G,"PDB",'Données brutes'!K:K,"Repli Transition")</f>
        <v>0</v>
      </c>
      <c r="I21" s="353">
        <f>COUNTIFS('Données brutes'!F:F,"Arret NC",'Données brutes'!J:J,"Repli Transition")</f>
        <v>2</v>
      </c>
      <c r="J21" s="1">
        <f>COUNTIFS('Données brutes'!F:F,"Neut Contre",'Données brutes'!J:J,"Repli Transition")</f>
        <v>10</v>
      </c>
      <c r="K21" s="243">
        <f t="shared" ref="K21:K24" si="11">(E21+F21+G21)/(C21+D21+E21+F21+G21)</f>
        <v>0.3125</v>
      </c>
      <c r="L21" s="460"/>
      <c r="M21" s="245">
        <f t="shared" si="1"/>
        <v>32</v>
      </c>
      <c r="N21" s="249">
        <f t="shared" ref="N21:N24" si="12">M21/$M$24</f>
        <v>0.4</v>
      </c>
    </row>
    <row r="22" spans="1:22" x14ac:dyDescent="0.35">
      <c r="A22" s="458"/>
      <c r="B22" s="242" t="s">
        <v>14</v>
      </c>
      <c r="C22" s="1">
        <f>COUNTIFS('Données brutes'!F:F,"But",'Données brutes'!J:J,"Repli ER")</f>
        <v>5</v>
      </c>
      <c r="D22" s="1">
        <f>COUNTIFS('Données brutes'!F:F,"7m / 7m 2min",'Données brutes'!J:J,"Repli ER")</f>
        <v>1</v>
      </c>
      <c r="E22" s="1">
        <f>COUNTIFS('Données brutes'!F:F,"Ar GB",'Données brutes'!J:J,"Repli ER")</f>
        <v>3</v>
      </c>
      <c r="F22" s="1">
        <f>COUNTIFS('Données brutes'!F:F,"HC",'Données brutes'!J:J,"Repli ER")</f>
        <v>2</v>
      </c>
      <c r="G22" s="1">
        <f>COUNTIFS('Données brutes'!F:F,"PDB",'Données brutes'!J:J,"Repli ER")</f>
        <v>5</v>
      </c>
      <c r="H22" s="354">
        <f>COUNTIFS('Données brutes'!G:G,"PDB",'Données brutes'!K:K,"Repli ER")</f>
        <v>0</v>
      </c>
      <c r="I22" s="353">
        <f>COUNTIFS('Données brutes'!F:F,"Arret NC",'Données brutes'!J:J,"Repli ER")</f>
        <v>1</v>
      </c>
      <c r="J22" s="1">
        <f>COUNTIFS('Données brutes'!F:F,"Neut Contre",'Données brutes'!J:J,"Repli ER")</f>
        <v>7</v>
      </c>
      <c r="K22" s="243">
        <f t="shared" si="11"/>
        <v>0.625</v>
      </c>
      <c r="L22" s="460"/>
      <c r="M22" s="245">
        <f t="shared" si="1"/>
        <v>16</v>
      </c>
      <c r="N22" s="249">
        <f t="shared" si="12"/>
        <v>0.2</v>
      </c>
    </row>
    <row r="23" spans="1:22" x14ac:dyDescent="0.35">
      <c r="A23" s="458"/>
      <c r="B23" s="242" t="s">
        <v>25</v>
      </c>
      <c r="C23" s="1">
        <f>COUNTIFS('Données brutes'!F:F,"But",'Données brutes'!J:J,"Repli But Vide")</f>
        <v>0</v>
      </c>
      <c r="D23" s="1">
        <f>COUNTIFS('Données brutes'!F:F,"7m / 7m 2min",'Données brutes'!J:J,"Repli But Vide")</f>
        <v>0</v>
      </c>
      <c r="E23" s="1">
        <f>COUNTIFS('Données brutes'!F:F,"Ar GB",'Données brutes'!J:J,"Repli But Vide")</f>
        <v>0</v>
      </c>
      <c r="F23" s="1">
        <f>COUNTIFS('Données brutes'!F:F,"HC",'Données brutes'!J:J,"Repli But Vide")</f>
        <v>1</v>
      </c>
      <c r="G23" s="1">
        <f>COUNTIFS('Données brutes'!F:F,"PDB",'Données brutes'!J:J,"Repli But Vide")</f>
        <v>0</v>
      </c>
      <c r="H23" s="354">
        <f>COUNTIFS('Données brutes'!G:G,"PDB",'Données brutes'!K:K,"Repli But Vide")</f>
        <v>0</v>
      </c>
      <c r="I23" s="353">
        <f>COUNTIFS('Données brutes'!F:F,"Arret NC",'Données brutes'!J:J,"Repli but vide")</f>
        <v>0</v>
      </c>
      <c r="J23" s="1">
        <f>COUNTIFS('Données brutes'!F:F,"Neut Contre",'Données brutes'!J:J,"Repli But Vide")</f>
        <v>0</v>
      </c>
      <c r="K23" s="243">
        <f t="shared" si="11"/>
        <v>1</v>
      </c>
      <c r="L23" s="460"/>
      <c r="M23" s="245">
        <f t="shared" si="1"/>
        <v>1</v>
      </c>
      <c r="N23" s="249">
        <f t="shared" si="12"/>
        <v>1.2500000000000001E-2</v>
      </c>
    </row>
    <row r="24" spans="1:22" ht="15" thickBot="1" x14ac:dyDescent="0.4">
      <c r="A24" s="459"/>
      <c r="B24" s="272" t="s">
        <v>26</v>
      </c>
      <c r="C24" s="8">
        <f t="shared" ref="C24:J24" si="13">SUM(C20:C23)</f>
        <v>39</v>
      </c>
      <c r="D24" s="8">
        <f t="shared" si="13"/>
        <v>4</v>
      </c>
      <c r="E24" s="8">
        <f t="shared" si="13"/>
        <v>6</v>
      </c>
      <c r="F24" s="8">
        <f t="shared" si="13"/>
        <v>5</v>
      </c>
      <c r="G24" s="8">
        <f t="shared" si="13"/>
        <v>26</v>
      </c>
      <c r="H24" s="356">
        <f t="shared" si="13"/>
        <v>0</v>
      </c>
      <c r="I24" s="357">
        <f t="shared" si="13"/>
        <v>3</v>
      </c>
      <c r="J24" s="8">
        <f t="shared" si="13"/>
        <v>19</v>
      </c>
      <c r="K24" s="273">
        <f t="shared" si="11"/>
        <v>0.46250000000000002</v>
      </c>
      <c r="L24" s="461"/>
      <c r="M24" s="253">
        <f t="shared" si="1"/>
        <v>80</v>
      </c>
      <c r="N24" s="274">
        <f t="shared" si="12"/>
        <v>1</v>
      </c>
    </row>
    <row r="25" spans="1:22" ht="36" x14ac:dyDescent="0.35">
      <c r="A25" s="445" t="s">
        <v>49</v>
      </c>
      <c r="B25" s="7"/>
      <c r="C25" s="7" t="s">
        <v>11</v>
      </c>
      <c r="D25" s="7" t="s">
        <v>29</v>
      </c>
      <c r="E25" s="7" t="s">
        <v>20</v>
      </c>
      <c r="F25" s="7" t="s">
        <v>10</v>
      </c>
      <c r="G25" s="7" t="s">
        <v>30</v>
      </c>
      <c r="H25" s="7" t="s">
        <v>358</v>
      </c>
      <c r="I25" s="7" t="s">
        <v>359</v>
      </c>
      <c r="J25" s="7" t="s">
        <v>13</v>
      </c>
      <c r="K25" s="270" t="s">
        <v>50</v>
      </c>
      <c r="L25" s="270"/>
      <c r="M25" s="10" t="s">
        <v>388</v>
      </c>
      <c r="N25" s="271" t="s">
        <v>392</v>
      </c>
    </row>
    <row r="26" spans="1:22" x14ac:dyDescent="0.35">
      <c r="A26" s="446"/>
      <c r="B26" s="242" t="s">
        <v>51</v>
      </c>
      <c r="C26" s="1">
        <f>COUNTIFS('Données brutes'!F:F,"But",'Données brutes'!H:H,"0-6")</f>
        <v>55</v>
      </c>
      <c r="D26" s="1">
        <f>COUNTIFS('Données brutes'!F:F,"7m / 7m 2min",'Données brutes'!H:H,"0-6")</f>
        <v>1</v>
      </c>
      <c r="E26" s="1">
        <f>COUNTIFS('Données brutes'!F:F,"Ar GB",'Données brutes'!H:H,"0-6")</f>
        <v>21</v>
      </c>
      <c r="F26" s="1">
        <f>COUNTIFS('Données brutes'!F:F,"HC",'Données brutes'!H:H,"0-6")</f>
        <v>18</v>
      </c>
      <c r="G26" s="1">
        <f>COUNTIFS('Données brutes'!F:F,"PDB",'Données brutes'!H:H,"0-6")</f>
        <v>22</v>
      </c>
      <c r="H26" s="354">
        <f>COUNTIFS('Données brutes'!F:F,"tir raté NC",'Données brutes'!H:H,"0-6")</f>
        <v>0</v>
      </c>
      <c r="I26" s="1">
        <f>COUNTIFS('Données brutes'!F:F,"Arret NC",'Données brutes'!H:H,"0-6")</f>
        <v>4</v>
      </c>
      <c r="J26" s="1">
        <f>COUNTIFS('Données brutes'!F:F,"Neut Contre",'Données brutes'!H:H,"0-6")</f>
        <v>37</v>
      </c>
      <c r="K26" s="243">
        <f>(E26+F26+G26)/(C26+D26+E26+F26+G26)</f>
        <v>0.5213675213675214</v>
      </c>
      <c r="L26" s="468">
        <v>0.6</v>
      </c>
      <c r="M26" s="245">
        <f t="shared" si="1"/>
        <v>117</v>
      </c>
      <c r="N26" s="249">
        <f>M26/$M$34</f>
        <v>0.68823529411764706</v>
      </c>
    </row>
    <row r="27" spans="1:22" x14ac:dyDescent="0.35">
      <c r="A27" s="446"/>
      <c r="B27" s="242" t="s">
        <v>64</v>
      </c>
      <c r="C27" s="1">
        <f>COUNTIFS('Données brutes'!F:F,"But",'Données brutes'!H:H,"1-5")</f>
        <v>9</v>
      </c>
      <c r="D27" s="1">
        <f>COUNTIFS('Données brutes'!F:F,"7m / 7m 2min",'Données brutes'!H:H,"1-5")</f>
        <v>0</v>
      </c>
      <c r="E27" s="1">
        <f>COUNTIFS('Données brutes'!F:F,"Ar GB",'Données brutes'!H:H,"1-5")</f>
        <v>6</v>
      </c>
      <c r="F27" s="1">
        <f>COUNTIFS('Données brutes'!F:F,"HC",'Données brutes'!H:H,"1-5")</f>
        <v>2</v>
      </c>
      <c r="G27" s="1">
        <f>COUNTIFS('Données brutes'!F:F,"PDB",'Données brutes'!H:H,"1-5")</f>
        <v>14</v>
      </c>
      <c r="H27" s="354">
        <f>COUNTIFS('Données brutes'!G:G,"PDB",'Données brutes'!I:I,"1-5")</f>
        <v>0</v>
      </c>
      <c r="I27" s="1">
        <f>COUNTIFS('Données brutes'!F:F,"Arret NC",'Données brutes'!H:H,"1-5")</f>
        <v>0</v>
      </c>
      <c r="J27" s="1">
        <f>COUNTIFS('Données brutes'!F:F,"Neut Contre",'Données brutes'!H:H,"1-5")</f>
        <v>11</v>
      </c>
      <c r="K27" s="243">
        <f t="shared" ref="K27:K34" si="14">(E27+F27+G27)/(C27+D27+E27+F27+G27)</f>
        <v>0.70967741935483875</v>
      </c>
      <c r="L27" s="469"/>
      <c r="M27" s="245">
        <f t="shared" si="1"/>
        <v>31</v>
      </c>
      <c r="N27" s="249">
        <f t="shared" ref="N27:N34" si="15">M27/$M$34</f>
        <v>0.18235294117647058</v>
      </c>
    </row>
    <row r="28" spans="1:22" x14ac:dyDescent="0.35">
      <c r="A28" s="446"/>
      <c r="B28" s="242" t="s">
        <v>52</v>
      </c>
      <c r="C28" s="1">
        <f>COUNTIFS('Données brutes'!F:F,"But",'Données brutes'!H:H,"Autres")</f>
        <v>1</v>
      </c>
      <c r="D28" s="1">
        <f>COUNTIFS('Données brutes'!F:F,"7m / 7m 2min",'Données brutes'!H:H,"Autres")</f>
        <v>0</v>
      </c>
      <c r="E28" s="1">
        <f>COUNTIFS('Données brutes'!F:F,"Ar GB",'Données brutes'!H:H,"Autres")</f>
        <v>0</v>
      </c>
      <c r="F28" s="1">
        <f>COUNTIFS('Données brutes'!F:F,"HC",'Données brutes'!H:H,"Autres")</f>
        <v>1</v>
      </c>
      <c r="G28" s="1">
        <f>COUNTIFS('Données brutes'!F:F,"PDB",'Données brutes'!H:H,"Autres")</f>
        <v>0</v>
      </c>
      <c r="H28" s="354">
        <f>COUNTIFS('Données brutes'!G:G,"PDB",'Données brutes'!I:I,"Autres")</f>
        <v>0</v>
      </c>
      <c r="I28" s="1">
        <f>COUNTIFS('Données brutes'!F:F,"Arret NC",'Données brutes'!H:H,"Autres")</f>
        <v>0</v>
      </c>
      <c r="J28" s="1">
        <f>COUNTIFS('Données brutes'!F:F,"Neut Contre",'Données brutes'!H:H,"Autres")</f>
        <v>0</v>
      </c>
      <c r="K28" s="243">
        <f t="shared" si="14"/>
        <v>0.5</v>
      </c>
      <c r="L28" s="469"/>
      <c r="M28" s="245">
        <f t="shared" si="1"/>
        <v>2</v>
      </c>
      <c r="N28" s="249">
        <f t="shared" si="15"/>
        <v>1.1764705882352941E-2</v>
      </c>
    </row>
    <row r="29" spans="1:22" x14ac:dyDescent="0.35">
      <c r="A29" s="446"/>
      <c r="B29" s="246" t="s">
        <v>53</v>
      </c>
      <c r="C29" s="2">
        <f>SUM(C26:C28)</f>
        <v>65</v>
      </c>
      <c r="D29" s="2">
        <f t="shared" ref="D29:J29" si="16">SUM(D26:D28)</f>
        <v>1</v>
      </c>
      <c r="E29" s="2">
        <f t="shared" si="16"/>
        <v>27</v>
      </c>
      <c r="F29" s="2">
        <f t="shared" si="16"/>
        <v>21</v>
      </c>
      <c r="G29" s="2">
        <f t="shared" si="16"/>
        <v>36</v>
      </c>
      <c r="H29" s="355">
        <f t="shared" si="16"/>
        <v>0</v>
      </c>
      <c r="I29" s="2">
        <f t="shared" si="16"/>
        <v>4</v>
      </c>
      <c r="J29" s="2">
        <f t="shared" si="16"/>
        <v>48</v>
      </c>
      <c r="K29" s="247">
        <f t="shared" si="14"/>
        <v>0.56000000000000005</v>
      </c>
      <c r="L29" s="469"/>
      <c r="M29" s="245">
        <f t="shared" si="1"/>
        <v>150</v>
      </c>
      <c r="N29" s="249">
        <f t="shared" si="15"/>
        <v>0.88235294117647056</v>
      </c>
    </row>
    <row r="30" spans="1:22" x14ac:dyDescent="0.35">
      <c r="A30" s="446"/>
      <c r="B30" s="242" t="s">
        <v>54</v>
      </c>
      <c r="C30" s="1">
        <f>COUNTIFS('Données brutes'!F:F,"But",'Données brutes'!H:H,"Défense 6 c 5")</f>
        <v>1</v>
      </c>
      <c r="D30" s="1">
        <f>COUNTIFS('Données brutes'!F:F,"7m / 7m 2min",'Données brutes'!H:H,"Défense 6 c 5")</f>
        <v>0</v>
      </c>
      <c r="E30" s="1">
        <f>COUNTIFS('Données brutes'!F:F,"Ar GB",'Données brutes'!H:H,"Défense 6 c 5")</f>
        <v>2</v>
      </c>
      <c r="F30" s="1">
        <f>COUNTIFS('Données brutes'!F:F,"HC",'Données brutes'!H:H,"Défense 6 c 5")</f>
        <v>0</v>
      </c>
      <c r="G30" s="1">
        <f>COUNTIFS('Données brutes'!F:F,"PDB",'Données brutes'!H:H,"Défense 6 c 5")</f>
        <v>0</v>
      </c>
      <c r="H30" s="354">
        <f>COUNTIFS('Données brutes'!G:G,"PDB",'Données brutes'!I:I,"Défense 6 c 5")</f>
        <v>0</v>
      </c>
      <c r="I30" s="1">
        <f>COUNTIFS('Données brutes'!F:F,"Arret NC",'Données brutes'!H:H,"Défense 6 c 5")</f>
        <v>0</v>
      </c>
      <c r="J30" s="1">
        <f>COUNTIFS('Données brutes'!F:F,"Neut Contre",'Données brutes'!H:H,"Défense 6 c 5")</f>
        <v>1</v>
      </c>
      <c r="K30" s="243">
        <f t="shared" si="14"/>
        <v>0.66666666666666663</v>
      </c>
      <c r="L30" s="469"/>
      <c r="M30" s="245">
        <f t="shared" si="1"/>
        <v>3</v>
      </c>
      <c r="N30" s="249">
        <f t="shared" si="15"/>
        <v>1.7647058823529412E-2</v>
      </c>
    </row>
    <row r="31" spans="1:22" x14ac:dyDescent="0.35">
      <c r="A31" s="446"/>
      <c r="B31" s="242" t="s">
        <v>55</v>
      </c>
      <c r="C31" s="1">
        <f>COUNTIFS('Données brutes'!F:F,"But",'Données brutes'!H:H,"Défense 5 c 6")</f>
        <v>2</v>
      </c>
      <c r="D31" s="1">
        <f>COUNTIFS('Données brutes'!F:F,"7m / 7m 2min",'Données brutes'!H:H,"Défense 5 c 6")</f>
        <v>0</v>
      </c>
      <c r="E31" s="1">
        <f>COUNTIFS('Données brutes'!F:F,"Ar GB",'Données brutes'!H:H,"Défense 5 c 6")</f>
        <v>0</v>
      </c>
      <c r="F31" s="1">
        <f>COUNTIFS('Données brutes'!F:F,"HC",'Données brutes'!H:H,"Défense 5 c 6")</f>
        <v>0</v>
      </c>
      <c r="G31" s="1">
        <f>COUNTIFS('Données brutes'!F:F,"PDB",'Données brutes'!H:H,"Défense 5 c 6")</f>
        <v>0</v>
      </c>
      <c r="H31" s="354">
        <f>COUNTIFS('Données brutes'!G:G,"PDB",'Données brutes'!I:I,"Défense 5 c 6")</f>
        <v>0</v>
      </c>
      <c r="I31" s="1">
        <f>COUNTIFS('Données brutes'!F:F,"Arret NC",'Données brutes'!H:H,"Défense 5 c 6")</f>
        <v>0</v>
      </c>
      <c r="J31" s="1">
        <f>COUNTIFS('Données brutes'!F:F,"Neut Contre",'Données brutes'!H:H,"Défense 5 c 6")</f>
        <v>0</v>
      </c>
      <c r="K31" s="243">
        <f t="shared" si="14"/>
        <v>0</v>
      </c>
      <c r="L31" s="469"/>
      <c r="M31" s="245">
        <f t="shared" si="1"/>
        <v>2</v>
      </c>
      <c r="N31" s="249">
        <f t="shared" si="15"/>
        <v>1.1764705882352941E-2</v>
      </c>
    </row>
    <row r="32" spans="1:22" x14ac:dyDescent="0.35">
      <c r="A32" s="446"/>
      <c r="B32" s="242" t="s">
        <v>56</v>
      </c>
      <c r="C32" s="1">
        <f>COUNTIFS('Données brutes'!F:F,"But",'Données brutes'!H:H,"Déf 6 c 7")</f>
        <v>0</v>
      </c>
      <c r="D32" s="1">
        <f>COUNTIFS('Données brutes'!F:F,"7m / 7m 2min",'Données brutes'!H:H,"Déf 6 c 7")</f>
        <v>0</v>
      </c>
      <c r="E32" s="1">
        <f>COUNTIFS('Données brutes'!F:F,"Ar GB",'Données brutes'!H:H,"Déf 6 c 7")</f>
        <v>0</v>
      </c>
      <c r="F32" s="1">
        <f>COUNTIFS('Données brutes'!F:F,"HC",'Données brutes'!H:H,"Déf 6 c 7")</f>
        <v>0</v>
      </c>
      <c r="G32" s="1">
        <f>COUNTIFS('Données brutes'!F:F,"PDB",'Données brutes'!H:H,"Déf 6 c 7")</f>
        <v>0</v>
      </c>
      <c r="H32" s="354">
        <f>COUNTIFS('Données brutes'!G:G,"PDB",'Données brutes'!I:I,"Déf 6 c 7")</f>
        <v>0</v>
      </c>
      <c r="I32" s="1">
        <f>COUNTIFS('Données brutes'!F:F,"Arret NC",'Données brutes'!H:H,"Déf 6 c 7")</f>
        <v>0</v>
      </c>
      <c r="J32" s="1">
        <f>COUNTIFS('Données brutes'!F:F,"Neut Contre",'Données brutes'!H:H,"Déf 6 c 7")</f>
        <v>0</v>
      </c>
      <c r="K32" s="243" t="e">
        <f t="shared" si="14"/>
        <v>#DIV/0!</v>
      </c>
      <c r="L32" s="469"/>
      <c r="M32" s="245">
        <f t="shared" si="1"/>
        <v>0</v>
      </c>
      <c r="N32" s="249">
        <f t="shared" si="15"/>
        <v>0</v>
      </c>
    </row>
    <row r="33" spans="1:14" x14ac:dyDescent="0.35">
      <c r="A33" s="446"/>
      <c r="B33" s="242" t="s">
        <v>57</v>
      </c>
      <c r="C33" s="1">
        <f>COUNTIFS('Données brutes'!F:F,"But",'Données brutes'!H:H,"Déf 6 c 6 sans GB")</f>
        <v>9</v>
      </c>
      <c r="D33" s="1">
        <f>COUNTIFS('Données brutes'!F:F,"7m / 7m 2min",'Données brutes'!H:H,"Déf 6 c 6 sans GB")</f>
        <v>0</v>
      </c>
      <c r="E33" s="1">
        <f>COUNTIFS('Données brutes'!F:F,"Ar GB",'Données brutes'!H:H,"Déf 6 c 6 sans GB")</f>
        <v>3</v>
      </c>
      <c r="F33" s="1">
        <f>COUNTIFS('Données brutes'!F:F,"HC",'Données brutes'!H:H,"Déf 6 c 6 sans GB")</f>
        <v>2</v>
      </c>
      <c r="G33" s="1">
        <f>COUNTIFS('Données brutes'!F:F,"PDB",'Données brutes'!H:H,"Déf 6 c 6 sans GB")</f>
        <v>1</v>
      </c>
      <c r="H33" s="354">
        <f>COUNTIFS('Données brutes'!G:G,"PDB",'Données brutes'!I:I,"Déf 6 c 6 sans GB")</f>
        <v>0</v>
      </c>
      <c r="I33" s="1">
        <f>COUNTIFS('Données brutes'!F:F,"Arret NC",'Données brutes'!H:H,"Déf 6 c 6 sans GB")</f>
        <v>1</v>
      </c>
      <c r="J33" s="1">
        <f>COUNTIFS('Données brutes'!F:F,"Neut Contre",'Données brutes'!H:H,"Déf 6 c 6 sans GB")</f>
        <v>6</v>
      </c>
      <c r="K33" s="243">
        <f t="shared" si="14"/>
        <v>0.4</v>
      </c>
      <c r="L33" s="469"/>
      <c r="M33" s="245">
        <f t="shared" si="1"/>
        <v>15</v>
      </c>
      <c r="N33" s="249">
        <f t="shared" si="15"/>
        <v>8.8235294117647065E-2</v>
      </c>
    </row>
    <row r="34" spans="1:14" ht="15" thickBot="1" x14ac:dyDescent="0.4">
      <c r="A34" s="447"/>
      <c r="B34" s="272" t="s">
        <v>58</v>
      </c>
      <c r="C34" s="8">
        <f>SUM(C29:C33)</f>
        <v>77</v>
      </c>
      <c r="D34" s="8">
        <f t="shared" ref="D34:J34" si="17">SUM(D29:D33)</f>
        <v>1</v>
      </c>
      <c r="E34" s="8">
        <f t="shared" si="17"/>
        <v>32</v>
      </c>
      <c r="F34" s="8">
        <f t="shared" si="17"/>
        <v>23</v>
      </c>
      <c r="G34" s="8">
        <f t="shared" si="17"/>
        <v>37</v>
      </c>
      <c r="H34" s="356">
        <f t="shared" si="17"/>
        <v>0</v>
      </c>
      <c r="I34" s="8">
        <f t="shared" si="17"/>
        <v>5</v>
      </c>
      <c r="J34" s="8">
        <f t="shared" si="17"/>
        <v>55</v>
      </c>
      <c r="K34" s="273">
        <f t="shared" si="14"/>
        <v>0.54117647058823526</v>
      </c>
      <c r="L34" s="470"/>
      <c r="M34" s="253">
        <f t="shared" si="1"/>
        <v>170</v>
      </c>
      <c r="N34" s="274">
        <f t="shared" si="15"/>
        <v>1</v>
      </c>
    </row>
    <row r="35" spans="1:14" x14ac:dyDescent="0.35">
      <c r="A35" s="448" t="s">
        <v>59</v>
      </c>
      <c r="B35" s="260" t="s">
        <v>60</v>
      </c>
      <c r="C35" s="5">
        <f>COUNTIFS('Données brutes'!F:F,"But",'Données brutes'!L:L,"7m Equipe à analyser")</f>
        <v>14</v>
      </c>
      <c r="D35" s="6"/>
      <c r="E35" s="5">
        <f>COUNTIFS('Données brutes'!F:F,"Ar GB",'Données brutes'!L:L,"7m Equipe à analyser")</f>
        <v>1</v>
      </c>
      <c r="F35" s="5">
        <f>COUNTIFS('Données brutes'!F:F,"HC",'Données brutes'!L:L,"7m Equipe à analyser")</f>
        <v>1</v>
      </c>
      <c r="G35" s="6"/>
      <c r="H35" s="6"/>
      <c r="I35" s="6"/>
      <c r="J35" s="6"/>
      <c r="K35" s="261">
        <f>C35/(C35+E35+F35)</f>
        <v>0.875</v>
      </c>
      <c r="L35" s="262">
        <v>0.8</v>
      </c>
      <c r="M35" s="258">
        <f t="shared" si="1"/>
        <v>16</v>
      </c>
      <c r="N35" s="263"/>
    </row>
    <row r="36" spans="1:14" ht="15" thickBot="1" x14ac:dyDescent="0.4">
      <c r="A36" s="449"/>
      <c r="B36" s="264" t="s">
        <v>61</v>
      </c>
      <c r="C36" s="265">
        <f>COUNTIFS('Données brutes'!F:F,"But",'Données brutes'!L:L,"7m Adversaires")</f>
        <v>4</v>
      </c>
      <c r="D36" s="266"/>
      <c r="E36" s="265">
        <f>COUNTIFS('Données brutes'!F:F,"Ar GB",'Données brutes'!L:L,"7m Adversaires")</f>
        <v>0</v>
      </c>
      <c r="F36" s="265">
        <f>COUNTIFS('Données brutes'!F:F,"HC",'Données brutes'!L:L,"7m Adversaires")</f>
        <v>0</v>
      </c>
      <c r="G36" s="266"/>
      <c r="H36" s="266"/>
      <c r="I36" s="266"/>
      <c r="J36" s="266"/>
      <c r="K36" s="267">
        <f>C36/(C36+E36+F36)</f>
        <v>1</v>
      </c>
      <c r="L36" s="268"/>
      <c r="M36" s="253">
        <f t="shared" si="1"/>
        <v>4</v>
      </c>
      <c r="N36" s="269"/>
    </row>
    <row r="37" spans="1:14" x14ac:dyDescent="0.35">
      <c r="A37" s="441" t="s">
        <v>423</v>
      </c>
      <c r="B37" s="442"/>
      <c r="C37" s="255">
        <f>C12+C18</f>
        <v>92</v>
      </c>
      <c r="D37" s="255">
        <f t="shared" ref="D37:J37" si="18">D12+D18</f>
        <v>20</v>
      </c>
      <c r="E37" s="255">
        <f t="shared" si="18"/>
        <v>51</v>
      </c>
      <c r="F37" s="255">
        <f t="shared" si="18"/>
        <v>34</v>
      </c>
      <c r="G37" s="255">
        <f t="shared" si="18"/>
        <v>59</v>
      </c>
      <c r="H37" s="255">
        <f t="shared" si="18"/>
        <v>12</v>
      </c>
      <c r="I37" s="255">
        <f t="shared" si="18"/>
        <v>1</v>
      </c>
      <c r="J37" s="255">
        <f t="shared" si="18"/>
        <v>62</v>
      </c>
      <c r="K37" s="256">
        <f>(C37+D37)/(C37+D37+E37+F37+G37)</f>
        <v>0.4375</v>
      </c>
      <c r="L37" s="257">
        <v>0.48</v>
      </c>
      <c r="M37" s="258">
        <f t="shared" si="1"/>
        <v>256</v>
      </c>
      <c r="N37" s="259"/>
    </row>
    <row r="38" spans="1:14" ht="15" thickBot="1" x14ac:dyDescent="0.4">
      <c r="A38" s="443" t="s">
        <v>66</v>
      </c>
      <c r="B38" s="444"/>
      <c r="C38" s="250">
        <f>C24+C34</f>
        <v>116</v>
      </c>
      <c r="D38" s="250">
        <f t="shared" ref="D38:J38" si="19">D24+D34</f>
        <v>5</v>
      </c>
      <c r="E38" s="250">
        <f t="shared" si="19"/>
        <v>38</v>
      </c>
      <c r="F38" s="250">
        <f t="shared" si="19"/>
        <v>28</v>
      </c>
      <c r="G38" s="250">
        <f t="shared" si="19"/>
        <v>63</v>
      </c>
      <c r="H38" s="250">
        <f t="shared" si="19"/>
        <v>0</v>
      </c>
      <c r="I38" s="250">
        <f t="shared" si="19"/>
        <v>8</v>
      </c>
      <c r="J38" s="250">
        <f t="shared" si="19"/>
        <v>74</v>
      </c>
      <c r="K38" s="251">
        <f>(C38+D38)/(C38+D38+E38+F38+G38)</f>
        <v>0.48399999999999999</v>
      </c>
      <c r="L38" s="252">
        <v>0.45</v>
      </c>
      <c r="M38" s="253">
        <f t="shared" si="1"/>
        <v>250</v>
      </c>
      <c r="N38" s="254"/>
    </row>
  </sheetData>
  <mergeCells count="14">
    <mergeCell ref="T1:V2"/>
    <mergeCell ref="A37:B37"/>
    <mergeCell ref="A38:B38"/>
    <mergeCell ref="A25:A34"/>
    <mergeCell ref="A35:A36"/>
    <mergeCell ref="P1:R2"/>
    <mergeCell ref="A3:A12"/>
    <mergeCell ref="A13:A18"/>
    <mergeCell ref="A19:A24"/>
    <mergeCell ref="L4:L7"/>
    <mergeCell ref="L14:L18"/>
    <mergeCell ref="L20:L24"/>
    <mergeCell ref="A1:N2"/>
    <mergeCell ref="L26:L34"/>
  </mergeCells>
  <conditionalFormatting sqref="K4:K1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14:K1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0:K24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6:K38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scale="75" fitToWidth="0" orientation="landscape" horizontalDpi="300" verticalDpi="30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E57F34-F93D-49B6-8C36-F15C2B608C2B}">
  <sheetPr codeName="Feuil10"/>
  <dimension ref="A1:O53"/>
  <sheetViews>
    <sheetView topLeftCell="D1" workbookViewId="0">
      <selection activeCell="P53" sqref="P53"/>
    </sheetView>
  </sheetViews>
  <sheetFormatPr baseColWidth="10" defaultRowHeight="14.5" x14ac:dyDescent="0.35"/>
  <cols>
    <col min="1" max="1" width="20.81640625" customWidth="1"/>
    <col min="3" max="3" width="11.08984375" bestFit="1" customWidth="1"/>
  </cols>
  <sheetData>
    <row r="1" spans="1:14" x14ac:dyDescent="0.35">
      <c r="A1" s="472" t="s">
        <v>406</v>
      </c>
      <c r="B1" s="472"/>
      <c r="C1" s="472"/>
      <c r="D1" s="472"/>
      <c r="E1" s="472"/>
      <c r="F1" s="472"/>
      <c r="G1" s="472"/>
      <c r="H1" s="472"/>
      <c r="I1" s="472"/>
      <c r="J1" s="472"/>
      <c r="K1" s="472"/>
      <c r="L1" s="472"/>
      <c r="M1" s="472"/>
      <c r="N1" s="472"/>
    </row>
    <row r="2" spans="1:14" x14ac:dyDescent="0.35">
      <c r="B2" t="s">
        <v>281</v>
      </c>
    </row>
    <row r="3" spans="1:14" x14ac:dyDescent="0.35">
      <c r="A3" t="s">
        <v>401</v>
      </c>
      <c r="B3">
        <f>'Stats générales'!M12</f>
        <v>146</v>
      </c>
    </row>
    <row r="4" spans="1:14" x14ac:dyDescent="0.35">
      <c r="A4" t="s">
        <v>402</v>
      </c>
      <c r="B4">
        <f>'Stats générales'!M18</f>
        <v>110</v>
      </c>
    </row>
    <row r="5" spans="1:14" x14ac:dyDescent="0.35">
      <c r="A5" t="s">
        <v>403</v>
      </c>
      <c r="B5">
        <f>SUM(B3:B4)</f>
        <v>256</v>
      </c>
    </row>
    <row r="7" spans="1:14" x14ac:dyDescent="0.35">
      <c r="B7" t="s">
        <v>65</v>
      </c>
    </row>
    <row r="8" spans="1:14" x14ac:dyDescent="0.35">
      <c r="A8" t="s">
        <v>401</v>
      </c>
      <c r="B8">
        <f>'Stats générales'!M34</f>
        <v>170</v>
      </c>
    </row>
    <row r="9" spans="1:14" x14ac:dyDescent="0.35">
      <c r="A9" t="s">
        <v>402</v>
      </c>
      <c r="B9">
        <f>'Stats générales'!M24</f>
        <v>80</v>
      </c>
    </row>
    <row r="10" spans="1:14" x14ac:dyDescent="0.35">
      <c r="A10" t="s">
        <v>403</v>
      </c>
      <c r="B10">
        <f>SUM(B8:B9)</f>
        <v>250</v>
      </c>
    </row>
    <row r="12" spans="1:14" x14ac:dyDescent="0.35">
      <c r="A12" s="472" t="s">
        <v>409</v>
      </c>
      <c r="B12" s="472"/>
      <c r="C12" s="472"/>
      <c r="D12" s="472"/>
      <c r="E12" s="472"/>
      <c r="F12" s="472"/>
      <c r="G12" s="472"/>
      <c r="H12" s="472"/>
      <c r="I12" s="472"/>
      <c r="J12" s="472"/>
      <c r="K12" s="472"/>
      <c r="L12" s="472"/>
    </row>
    <row r="13" spans="1:14" x14ac:dyDescent="0.35">
      <c r="A13" s="472" t="s">
        <v>281</v>
      </c>
      <c r="B13" s="472"/>
      <c r="C13" s="472"/>
      <c r="D13" s="338"/>
      <c r="E13" s="338"/>
      <c r="F13" s="338"/>
      <c r="G13" s="338"/>
      <c r="H13" s="338"/>
      <c r="I13" s="338"/>
      <c r="J13" s="338"/>
      <c r="K13" s="338"/>
      <c r="L13" s="338"/>
    </row>
    <row r="14" spans="1:14" x14ac:dyDescent="0.35">
      <c r="A14" s="341" t="s">
        <v>410</v>
      </c>
      <c r="B14">
        <f>'Stats générales'!M12</f>
        <v>146</v>
      </c>
      <c r="C14" s="161">
        <f>B14/$B$19</f>
        <v>0.5703125</v>
      </c>
      <c r="G14" t="s">
        <v>281</v>
      </c>
      <c r="H14" t="s">
        <v>65</v>
      </c>
    </row>
    <row r="15" spans="1:14" x14ac:dyDescent="0.35">
      <c r="A15" s="341" t="s">
        <v>12</v>
      </c>
      <c r="B15">
        <f>'Stats générales'!M14</f>
        <v>29</v>
      </c>
      <c r="C15" s="161">
        <f t="shared" ref="C15:C19" si="0">B15/$B$19</f>
        <v>0.11328125</v>
      </c>
      <c r="F15" s="341" t="s">
        <v>410</v>
      </c>
      <c r="G15" s="161">
        <f>C14</f>
        <v>0.5703125</v>
      </c>
      <c r="H15" s="161">
        <f>C21</f>
        <v>0.68</v>
      </c>
    </row>
    <row r="16" spans="1:14" x14ac:dyDescent="0.35">
      <c r="A16" s="341" t="s">
        <v>19</v>
      </c>
      <c r="B16">
        <f>'Stats générales'!M15</f>
        <v>37</v>
      </c>
      <c r="C16" s="161">
        <f t="shared" si="0"/>
        <v>0.14453125</v>
      </c>
      <c r="F16" s="341" t="s">
        <v>12</v>
      </c>
      <c r="G16" s="161">
        <f>C15</f>
        <v>0.11328125</v>
      </c>
      <c r="H16" s="161">
        <f>C22</f>
        <v>0.124</v>
      </c>
    </row>
    <row r="17" spans="1:14" x14ac:dyDescent="0.35">
      <c r="A17" s="341" t="s">
        <v>16</v>
      </c>
      <c r="B17">
        <f>'Stats générales'!M16</f>
        <v>42</v>
      </c>
      <c r="C17" s="161">
        <f t="shared" si="0"/>
        <v>0.1640625</v>
      </c>
      <c r="F17" s="341" t="s">
        <v>19</v>
      </c>
      <c r="G17" s="161">
        <f>C16</f>
        <v>0.14453125</v>
      </c>
      <c r="H17" s="161">
        <f>C23</f>
        <v>0.128</v>
      </c>
    </row>
    <row r="18" spans="1:14" x14ac:dyDescent="0.35">
      <c r="A18" s="341" t="s">
        <v>22</v>
      </c>
      <c r="B18">
        <f>'Stats générales'!M17</f>
        <v>2</v>
      </c>
      <c r="C18" s="161">
        <f t="shared" si="0"/>
        <v>7.8125E-3</v>
      </c>
      <c r="F18" s="341" t="s">
        <v>16</v>
      </c>
      <c r="G18" s="161">
        <f>C17</f>
        <v>0.1640625</v>
      </c>
      <c r="H18" s="161">
        <f>C24</f>
        <v>6.4000000000000001E-2</v>
      </c>
    </row>
    <row r="19" spans="1:14" x14ac:dyDescent="0.35">
      <c r="A19" s="341" t="s">
        <v>403</v>
      </c>
      <c r="B19">
        <f>SUM(B14:B18)</f>
        <v>256</v>
      </c>
      <c r="C19" s="161">
        <f t="shared" si="0"/>
        <v>1</v>
      </c>
      <c r="F19" s="341" t="s">
        <v>22</v>
      </c>
      <c r="G19" s="161">
        <f>C18</f>
        <v>7.8125E-3</v>
      </c>
      <c r="H19" s="161">
        <f>C25</f>
        <v>4.0000000000000001E-3</v>
      </c>
    </row>
    <row r="20" spans="1:14" x14ac:dyDescent="0.35">
      <c r="A20" s="473" t="s">
        <v>65</v>
      </c>
      <c r="B20" s="473"/>
      <c r="C20" s="473"/>
    </row>
    <row r="21" spans="1:14" x14ac:dyDescent="0.35">
      <c r="A21" s="340" t="s">
        <v>410</v>
      </c>
      <c r="B21" s="340">
        <f>'Stats générales'!M34</f>
        <v>170</v>
      </c>
      <c r="C21" s="342">
        <f>B21/$B$26</f>
        <v>0.68</v>
      </c>
    </row>
    <row r="22" spans="1:14" x14ac:dyDescent="0.35">
      <c r="A22" s="340" t="s">
        <v>12</v>
      </c>
      <c r="B22" s="340">
        <f>'Stats générales'!M20</f>
        <v>31</v>
      </c>
      <c r="C22" s="342">
        <f t="shared" ref="C22:C26" si="1">B22/$B$26</f>
        <v>0.124</v>
      </c>
    </row>
    <row r="23" spans="1:14" x14ac:dyDescent="0.35">
      <c r="A23" s="340" t="s">
        <v>19</v>
      </c>
      <c r="B23" s="340">
        <f>'Stats générales'!M21</f>
        <v>32</v>
      </c>
      <c r="C23" s="342">
        <f t="shared" si="1"/>
        <v>0.128</v>
      </c>
    </row>
    <row r="24" spans="1:14" x14ac:dyDescent="0.35">
      <c r="A24" s="340" t="s">
        <v>16</v>
      </c>
      <c r="B24" s="340">
        <f>'Stats générales'!M22</f>
        <v>16</v>
      </c>
      <c r="C24" s="342">
        <f t="shared" si="1"/>
        <v>6.4000000000000001E-2</v>
      </c>
    </row>
    <row r="25" spans="1:14" x14ac:dyDescent="0.35">
      <c r="A25" s="340" t="s">
        <v>22</v>
      </c>
      <c r="B25" s="340">
        <f>'Stats générales'!M23</f>
        <v>1</v>
      </c>
      <c r="C25" s="342">
        <f t="shared" si="1"/>
        <v>4.0000000000000001E-3</v>
      </c>
    </row>
    <row r="26" spans="1:14" x14ac:dyDescent="0.35">
      <c r="A26" s="340" t="s">
        <v>403</v>
      </c>
      <c r="B26">
        <f>SUM(B21:B25)</f>
        <v>250</v>
      </c>
      <c r="C26" s="342">
        <f t="shared" si="1"/>
        <v>1</v>
      </c>
    </row>
    <row r="27" spans="1:14" x14ac:dyDescent="0.35">
      <c r="A27" s="472" t="s">
        <v>404</v>
      </c>
      <c r="B27" s="472"/>
      <c r="C27" s="472"/>
      <c r="D27" s="472"/>
      <c r="E27" s="472"/>
      <c r="F27" s="472"/>
      <c r="G27" s="472"/>
      <c r="H27" s="472"/>
      <c r="I27" s="472"/>
      <c r="J27" s="472"/>
      <c r="K27" s="472"/>
      <c r="L27" s="472"/>
      <c r="M27" s="472"/>
      <c r="N27" s="472"/>
    </row>
    <row r="28" spans="1:14" x14ac:dyDescent="0.35">
      <c r="A28" s="471" t="s">
        <v>281</v>
      </c>
      <c r="B28" s="471"/>
      <c r="C28" s="471"/>
    </row>
    <row r="29" spans="1:14" x14ac:dyDescent="0.35">
      <c r="A29" t="s">
        <v>12</v>
      </c>
      <c r="B29">
        <f>'Stats générales'!M14</f>
        <v>29</v>
      </c>
      <c r="C29" s="161">
        <f>B29/$B$33</f>
        <v>0.26363636363636361</v>
      </c>
    </row>
    <row r="30" spans="1:14" x14ac:dyDescent="0.35">
      <c r="A30" t="s">
        <v>19</v>
      </c>
      <c r="B30">
        <f>'Stats générales'!M15</f>
        <v>37</v>
      </c>
      <c r="C30" s="161">
        <f t="shared" ref="C30:C32" si="2">B30/$B$33</f>
        <v>0.33636363636363636</v>
      </c>
    </row>
    <row r="31" spans="1:14" x14ac:dyDescent="0.35">
      <c r="A31" t="s">
        <v>16</v>
      </c>
      <c r="B31">
        <f>'Stats générales'!M16</f>
        <v>42</v>
      </c>
      <c r="C31" s="161">
        <f t="shared" si="2"/>
        <v>0.38181818181818183</v>
      </c>
    </row>
    <row r="32" spans="1:14" x14ac:dyDescent="0.35">
      <c r="A32" t="s">
        <v>22</v>
      </c>
      <c r="B32">
        <f>'Stats générales'!M17</f>
        <v>2</v>
      </c>
      <c r="C32" s="161">
        <f t="shared" si="2"/>
        <v>1.8181818181818181E-2</v>
      </c>
    </row>
    <row r="33" spans="1:15" x14ac:dyDescent="0.35">
      <c r="A33" t="s">
        <v>70</v>
      </c>
      <c r="B33">
        <f>SUM(B29:B32)</f>
        <v>110</v>
      </c>
    </row>
    <row r="34" spans="1:15" x14ac:dyDescent="0.35">
      <c r="A34" s="471" t="s">
        <v>65</v>
      </c>
      <c r="B34" s="471"/>
      <c r="C34" s="471"/>
    </row>
    <row r="35" spans="1:15" x14ac:dyDescent="0.35">
      <c r="A35" t="s">
        <v>12</v>
      </c>
      <c r="B35">
        <f>'Stats générales'!M20</f>
        <v>31</v>
      </c>
      <c r="C35" s="161">
        <f>B35/$B$39</f>
        <v>0.38750000000000001</v>
      </c>
    </row>
    <row r="36" spans="1:15" x14ac:dyDescent="0.35">
      <c r="A36" t="s">
        <v>19</v>
      </c>
      <c r="B36">
        <f>'Stats générales'!M21</f>
        <v>32</v>
      </c>
      <c r="C36" s="161">
        <f t="shared" ref="C36:C38" si="3">B36/$B$39</f>
        <v>0.4</v>
      </c>
    </row>
    <row r="37" spans="1:15" x14ac:dyDescent="0.35">
      <c r="A37" t="s">
        <v>405</v>
      </c>
      <c r="B37">
        <f>'Stats générales'!M22</f>
        <v>16</v>
      </c>
      <c r="C37" s="161">
        <f t="shared" si="3"/>
        <v>0.2</v>
      </c>
    </row>
    <row r="38" spans="1:15" x14ac:dyDescent="0.35">
      <c r="A38" t="s">
        <v>22</v>
      </c>
      <c r="B38">
        <f>'Stats générales'!M23</f>
        <v>1</v>
      </c>
      <c r="C38" s="161">
        <f t="shared" si="3"/>
        <v>1.2500000000000001E-2</v>
      </c>
    </row>
    <row r="39" spans="1:15" x14ac:dyDescent="0.35">
      <c r="B39">
        <f>SUM(B35:B38)</f>
        <v>80</v>
      </c>
    </row>
    <row r="41" spans="1:15" x14ac:dyDescent="0.35">
      <c r="A41" s="472" t="s">
        <v>407</v>
      </c>
      <c r="B41" s="472"/>
      <c r="C41" s="472"/>
      <c r="D41" s="472"/>
      <c r="E41" s="472"/>
      <c r="F41" s="472"/>
      <c r="G41" s="472"/>
      <c r="H41" s="472"/>
      <c r="I41" s="472"/>
      <c r="J41" s="472"/>
      <c r="K41" s="472"/>
      <c r="L41" s="472"/>
      <c r="M41" s="472"/>
      <c r="O41" t="s">
        <v>456</v>
      </c>
    </row>
    <row r="42" spans="1:15" x14ac:dyDescent="0.35">
      <c r="A42" s="471" t="s">
        <v>281</v>
      </c>
      <c r="B42" s="471"/>
      <c r="C42" s="471"/>
    </row>
    <row r="43" spans="1:15" x14ac:dyDescent="0.35">
      <c r="A43" t="s">
        <v>2</v>
      </c>
      <c r="B43" s="339">
        <f>'Stats générales'!K12</f>
        <v>0.3904109589041096</v>
      </c>
    </row>
    <row r="44" spans="1:15" x14ac:dyDescent="0.35">
      <c r="A44" t="s">
        <v>12</v>
      </c>
      <c r="B44" s="339">
        <f>'Stats générales'!K14</f>
        <v>0.51724137931034475</v>
      </c>
    </row>
    <row r="45" spans="1:15" x14ac:dyDescent="0.35">
      <c r="A45" t="s">
        <v>19</v>
      </c>
      <c r="B45" s="339">
        <f>'Stats générales'!K15</f>
        <v>0.54054054054054057</v>
      </c>
    </row>
    <row r="46" spans="1:15" x14ac:dyDescent="0.35">
      <c r="A46" t="s">
        <v>405</v>
      </c>
      <c r="B46" s="339">
        <f>'Stats générales'!K16</f>
        <v>0.45238095238095233</v>
      </c>
    </row>
    <row r="47" spans="1:15" x14ac:dyDescent="0.35">
      <c r="A47" t="s">
        <v>22</v>
      </c>
      <c r="B47" s="339">
        <f>'Stats générales'!K17</f>
        <v>0.5</v>
      </c>
    </row>
    <row r="48" spans="1:15" x14ac:dyDescent="0.35">
      <c r="A48" s="471" t="s">
        <v>408</v>
      </c>
      <c r="B48" s="471"/>
    </row>
    <row r="49" spans="1:2" x14ac:dyDescent="0.35">
      <c r="A49" t="s">
        <v>2</v>
      </c>
      <c r="B49" s="339">
        <f>1-('Stats générales'!K34)</f>
        <v>0.45882352941176474</v>
      </c>
    </row>
    <row r="50" spans="1:2" x14ac:dyDescent="0.35">
      <c r="A50" t="s">
        <v>12</v>
      </c>
      <c r="B50" s="339">
        <f>1-('Stats générales'!K20)</f>
        <v>0.4838709677419355</v>
      </c>
    </row>
    <row r="51" spans="1:2" x14ac:dyDescent="0.35">
      <c r="A51" t="s">
        <v>19</v>
      </c>
      <c r="B51" s="339">
        <f>1-('Stats générales'!K21)</f>
        <v>0.6875</v>
      </c>
    </row>
    <row r="52" spans="1:2" x14ac:dyDescent="0.35">
      <c r="A52" t="s">
        <v>405</v>
      </c>
      <c r="B52" s="339">
        <f>1-('Stats générales'!K22)</f>
        <v>0.375</v>
      </c>
    </row>
    <row r="53" spans="1:2" x14ac:dyDescent="0.35">
      <c r="A53" t="s">
        <v>22</v>
      </c>
      <c r="B53" s="339">
        <f>1-('Stats générales'!K23)</f>
        <v>0</v>
      </c>
    </row>
  </sheetData>
  <mergeCells count="10">
    <mergeCell ref="A48:B48"/>
    <mergeCell ref="A1:N1"/>
    <mergeCell ref="A27:N27"/>
    <mergeCell ref="A28:C28"/>
    <mergeCell ref="A34:C34"/>
    <mergeCell ref="A41:M41"/>
    <mergeCell ref="A42:C42"/>
    <mergeCell ref="A12:L12"/>
    <mergeCell ref="A13:C13"/>
    <mergeCell ref="A20:C20"/>
  </mergeCells>
  <pageMargins left="0.7" right="0.7" top="0.75" bottom="0.75" header="0.3" footer="0.3"/>
  <pageSetup paperSize="9" orientation="portrait" verticalDpi="0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61151-B611-4F21-9DD0-6B57613C8B4A}">
  <sheetPr codeName="Feuil11"/>
  <dimension ref="A1:V21"/>
  <sheetViews>
    <sheetView zoomScale="70" zoomScaleNormal="70" workbookViewId="0">
      <selection activeCell="B2" sqref="B2"/>
    </sheetView>
  </sheetViews>
  <sheetFormatPr baseColWidth="10" defaultRowHeight="14.5" x14ac:dyDescent="0.35"/>
  <cols>
    <col min="1" max="1" width="28.453125" customWidth="1"/>
    <col min="2" max="2" width="7.54296875" customWidth="1"/>
    <col min="3" max="3" width="7.6328125" customWidth="1"/>
    <col min="4" max="4" width="5.7265625" customWidth="1"/>
    <col min="5" max="5" width="5.08984375" customWidth="1"/>
    <col min="6" max="6" width="6.90625" customWidth="1"/>
    <col min="7" max="8" width="7.1796875" customWidth="1"/>
    <col min="9" max="9" width="6.81640625" customWidth="1"/>
    <col min="10" max="10" width="8.08984375" customWidth="1"/>
    <col min="11" max="11" width="7.54296875" customWidth="1"/>
    <col min="12" max="12" width="7" customWidth="1"/>
    <col min="13" max="13" width="7.1796875" customWidth="1"/>
    <col min="14" max="15" width="8.08984375" customWidth="1"/>
  </cols>
  <sheetData>
    <row r="1" spans="1:22" ht="15" thickBot="1" x14ac:dyDescent="0.4">
      <c r="A1" s="284" t="s">
        <v>338</v>
      </c>
      <c r="B1" s="290">
        <v>4</v>
      </c>
      <c r="C1" s="331"/>
      <c r="D1" s="343"/>
      <c r="E1" s="343"/>
      <c r="F1" s="343"/>
      <c r="G1" s="343"/>
      <c r="H1" s="343"/>
      <c r="I1" s="343"/>
      <c r="J1" s="343"/>
      <c r="K1" s="343"/>
      <c r="L1" s="343"/>
      <c r="M1" s="343"/>
      <c r="N1" s="343"/>
      <c r="O1" s="343"/>
      <c r="P1" s="343"/>
      <c r="Q1" s="343"/>
      <c r="R1" s="343"/>
      <c r="S1" s="343"/>
      <c r="T1" s="343"/>
      <c r="U1" s="343"/>
      <c r="V1" s="343"/>
    </row>
    <row r="2" spans="1:22" x14ac:dyDescent="0.35">
      <c r="A2" s="285" t="s">
        <v>3</v>
      </c>
      <c r="B2" s="289" t="s">
        <v>70</v>
      </c>
      <c r="C2" s="346" t="s">
        <v>558</v>
      </c>
      <c r="D2" s="346" t="s">
        <v>560</v>
      </c>
      <c r="E2" s="346" t="s">
        <v>559</v>
      </c>
      <c r="F2" s="346" t="s">
        <v>561</v>
      </c>
      <c r="G2" s="348"/>
      <c r="H2" s="348"/>
      <c r="I2" s="348"/>
    </row>
    <row r="3" spans="1:22" x14ac:dyDescent="0.35">
      <c r="A3" s="286" t="s">
        <v>284</v>
      </c>
      <c r="B3" s="151">
        <f>SUM(C3:AE3)</f>
        <v>4</v>
      </c>
      <c r="C3" s="332">
        <v>1</v>
      </c>
      <c r="D3" s="332">
        <v>1</v>
      </c>
      <c r="E3" s="332">
        <v>1</v>
      </c>
      <c r="F3" s="332">
        <v>1</v>
      </c>
      <c r="G3" s="348"/>
      <c r="H3" s="348"/>
      <c r="I3" s="348"/>
      <c r="J3" s="348"/>
      <c r="K3" s="348"/>
      <c r="L3" s="348"/>
      <c r="M3" s="348"/>
      <c r="N3" s="348"/>
    </row>
    <row r="4" spans="1:22" x14ac:dyDescent="0.35">
      <c r="A4" s="286" t="s">
        <v>436</v>
      </c>
      <c r="B4" s="151">
        <f t="shared" ref="B4:B19" si="0">SUM(C4:AE4)</f>
        <v>4</v>
      </c>
      <c r="C4" s="332">
        <v>1</v>
      </c>
      <c r="D4" s="332">
        <v>1</v>
      </c>
      <c r="E4" s="332">
        <v>1</v>
      </c>
      <c r="F4" s="332">
        <v>1</v>
      </c>
      <c r="G4" s="348"/>
      <c r="H4" s="348"/>
      <c r="I4" s="348"/>
      <c r="J4" s="348"/>
      <c r="L4" s="348"/>
      <c r="M4" s="348"/>
      <c r="N4" s="348"/>
    </row>
    <row r="5" spans="1:22" x14ac:dyDescent="0.35">
      <c r="A5" s="286" t="s">
        <v>432</v>
      </c>
      <c r="B5" s="151">
        <f t="shared" si="0"/>
        <v>4</v>
      </c>
      <c r="C5" s="332">
        <v>1</v>
      </c>
      <c r="D5" s="332">
        <v>1</v>
      </c>
      <c r="E5" s="332">
        <v>1</v>
      </c>
      <c r="F5" s="332">
        <v>1</v>
      </c>
      <c r="G5" s="348"/>
      <c r="H5" s="348"/>
      <c r="I5" s="348"/>
      <c r="L5" s="348"/>
      <c r="M5" s="348"/>
      <c r="N5" s="348"/>
    </row>
    <row r="6" spans="1:22" x14ac:dyDescent="0.35">
      <c r="A6" s="286" t="s">
        <v>285</v>
      </c>
      <c r="B6" s="151">
        <f t="shared" si="0"/>
        <v>4</v>
      </c>
      <c r="C6" s="332">
        <v>1</v>
      </c>
      <c r="D6" s="332">
        <v>1</v>
      </c>
      <c r="E6" s="332">
        <v>1</v>
      </c>
      <c r="F6" s="332">
        <v>1</v>
      </c>
      <c r="G6" s="348"/>
      <c r="H6" s="348"/>
      <c r="I6" s="348"/>
      <c r="J6" s="348"/>
      <c r="L6" s="348"/>
      <c r="M6" s="348"/>
      <c r="N6" s="348"/>
    </row>
    <row r="7" spans="1:22" x14ac:dyDescent="0.35">
      <c r="A7" s="286" t="s">
        <v>286</v>
      </c>
      <c r="B7" s="151">
        <f t="shared" si="0"/>
        <v>3</v>
      </c>
      <c r="C7" s="332">
        <v>1</v>
      </c>
      <c r="D7" s="332">
        <v>0</v>
      </c>
      <c r="E7" s="332">
        <v>1</v>
      </c>
      <c r="F7" s="332">
        <v>1</v>
      </c>
      <c r="G7" s="348"/>
      <c r="H7" s="348"/>
      <c r="I7" s="348"/>
      <c r="J7" s="348"/>
      <c r="L7" s="348"/>
      <c r="M7" s="348"/>
      <c r="N7" s="348"/>
    </row>
    <row r="8" spans="1:22" x14ac:dyDescent="0.35">
      <c r="A8" s="286" t="s">
        <v>434</v>
      </c>
      <c r="B8" s="151">
        <f t="shared" si="0"/>
        <v>4</v>
      </c>
      <c r="C8" s="332">
        <v>1</v>
      </c>
      <c r="D8" s="332">
        <v>1</v>
      </c>
      <c r="E8" s="332">
        <v>1</v>
      </c>
      <c r="F8" s="332">
        <v>1</v>
      </c>
      <c r="G8" s="348"/>
      <c r="H8" s="348"/>
      <c r="I8" s="348"/>
      <c r="J8" s="348"/>
      <c r="L8" s="348"/>
      <c r="M8" s="348"/>
      <c r="N8" s="348"/>
    </row>
    <row r="9" spans="1:22" x14ac:dyDescent="0.35">
      <c r="A9" s="286" t="s">
        <v>287</v>
      </c>
      <c r="B9" s="151">
        <f t="shared" si="0"/>
        <v>4</v>
      </c>
      <c r="C9" s="332">
        <v>1</v>
      </c>
      <c r="D9" s="332">
        <v>1</v>
      </c>
      <c r="E9" s="332">
        <v>1</v>
      </c>
      <c r="F9" s="332">
        <v>1</v>
      </c>
      <c r="G9" s="348"/>
      <c r="H9" s="348"/>
      <c r="I9" s="348"/>
      <c r="J9" s="348"/>
      <c r="L9" s="348"/>
      <c r="M9" s="348"/>
      <c r="N9" s="348"/>
    </row>
    <row r="10" spans="1:22" x14ac:dyDescent="0.35">
      <c r="A10" s="286" t="s">
        <v>288</v>
      </c>
      <c r="B10" s="151">
        <f t="shared" si="0"/>
        <v>4</v>
      </c>
      <c r="C10" s="332">
        <v>1</v>
      </c>
      <c r="D10" s="332">
        <v>1</v>
      </c>
      <c r="E10" s="332">
        <v>1</v>
      </c>
      <c r="F10" s="332">
        <v>1</v>
      </c>
      <c r="G10" s="348"/>
      <c r="H10" s="348"/>
      <c r="I10" s="348"/>
      <c r="J10" s="348"/>
      <c r="L10" s="348"/>
      <c r="M10" s="348"/>
      <c r="N10" s="348"/>
    </row>
    <row r="11" spans="1:22" x14ac:dyDescent="0.35">
      <c r="A11" s="286" t="s">
        <v>289</v>
      </c>
      <c r="B11" s="151">
        <f t="shared" si="0"/>
        <v>4</v>
      </c>
      <c r="C11" s="332">
        <v>1</v>
      </c>
      <c r="D11" s="332">
        <v>1</v>
      </c>
      <c r="E11" s="332">
        <v>1</v>
      </c>
      <c r="F11" s="332">
        <v>1</v>
      </c>
      <c r="G11" s="348"/>
      <c r="H11" s="348"/>
      <c r="I11" s="348"/>
      <c r="J11" s="348"/>
      <c r="L11" s="348"/>
      <c r="M11" s="348"/>
      <c r="N11" s="348"/>
    </row>
    <row r="12" spans="1:22" x14ac:dyDescent="0.35">
      <c r="A12" s="286" t="s">
        <v>433</v>
      </c>
      <c r="B12" s="151">
        <f t="shared" si="0"/>
        <v>4</v>
      </c>
      <c r="C12" s="332">
        <v>1</v>
      </c>
      <c r="D12" s="332">
        <v>1</v>
      </c>
      <c r="E12" s="332">
        <v>1</v>
      </c>
      <c r="F12" s="332">
        <v>1</v>
      </c>
      <c r="G12" s="348"/>
      <c r="H12" s="348"/>
      <c r="I12" s="348"/>
      <c r="J12" s="348"/>
      <c r="L12" s="348"/>
      <c r="M12" s="348"/>
      <c r="N12" s="348"/>
    </row>
    <row r="13" spans="1:22" x14ac:dyDescent="0.35">
      <c r="A13" s="286" t="s">
        <v>290</v>
      </c>
      <c r="B13" s="151">
        <f t="shared" si="0"/>
        <v>4</v>
      </c>
      <c r="C13" s="332">
        <v>1</v>
      </c>
      <c r="D13" s="332">
        <v>1</v>
      </c>
      <c r="E13" s="332">
        <v>1</v>
      </c>
      <c r="F13" s="332">
        <v>1</v>
      </c>
      <c r="G13" s="348"/>
      <c r="H13" s="348"/>
      <c r="I13" s="348"/>
      <c r="J13" s="348"/>
      <c r="L13" s="348"/>
      <c r="M13" s="348"/>
      <c r="N13" s="348"/>
    </row>
    <row r="14" spans="1:22" x14ac:dyDescent="0.35">
      <c r="A14" s="286" t="s">
        <v>291</v>
      </c>
      <c r="B14" s="151">
        <f t="shared" si="0"/>
        <v>4</v>
      </c>
      <c r="C14" s="332">
        <v>1</v>
      </c>
      <c r="D14" s="332">
        <v>1</v>
      </c>
      <c r="E14" s="332">
        <v>1</v>
      </c>
      <c r="F14" s="332">
        <v>1</v>
      </c>
      <c r="G14" s="348"/>
      <c r="H14" s="348"/>
      <c r="I14" s="348"/>
      <c r="J14" s="348"/>
      <c r="L14" s="348"/>
      <c r="M14" s="348"/>
      <c r="N14" s="348"/>
    </row>
    <row r="15" spans="1:22" x14ac:dyDescent="0.35">
      <c r="A15" s="286" t="s">
        <v>292</v>
      </c>
      <c r="B15" s="151">
        <f t="shared" si="0"/>
        <v>3</v>
      </c>
      <c r="C15" s="332">
        <v>0</v>
      </c>
      <c r="D15" s="332">
        <v>1</v>
      </c>
      <c r="E15" s="332">
        <v>1</v>
      </c>
      <c r="F15" s="332">
        <v>1</v>
      </c>
      <c r="G15" s="348"/>
      <c r="H15" s="348"/>
      <c r="I15" s="348"/>
      <c r="J15" s="348"/>
      <c r="L15" s="348"/>
      <c r="M15" s="348"/>
      <c r="N15" s="348"/>
    </row>
    <row r="16" spans="1:22" x14ac:dyDescent="0.35">
      <c r="A16" s="286" t="s">
        <v>293</v>
      </c>
      <c r="B16" s="151">
        <f t="shared" si="0"/>
        <v>0</v>
      </c>
      <c r="C16" s="332">
        <v>0</v>
      </c>
      <c r="D16" s="332">
        <v>0</v>
      </c>
      <c r="E16" s="332">
        <v>0</v>
      </c>
      <c r="F16" s="332">
        <v>0</v>
      </c>
      <c r="G16" s="348"/>
      <c r="H16" s="348"/>
      <c r="I16" s="348"/>
      <c r="J16" s="348"/>
      <c r="L16" s="348"/>
      <c r="M16" s="348"/>
      <c r="N16" s="348"/>
    </row>
    <row r="17" spans="1:14" x14ac:dyDescent="0.35">
      <c r="A17" s="286" t="s">
        <v>294</v>
      </c>
      <c r="B17" s="151">
        <f t="shared" si="0"/>
        <v>1</v>
      </c>
      <c r="C17" s="347"/>
      <c r="D17" s="347">
        <v>1</v>
      </c>
      <c r="E17" s="347"/>
      <c r="F17" s="347"/>
      <c r="G17" s="348"/>
      <c r="H17" s="348"/>
      <c r="I17" s="348"/>
    </row>
    <row r="18" spans="1:14" x14ac:dyDescent="0.35">
      <c r="A18" s="286" t="s">
        <v>435</v>
      </c>
      <c r="B18" s="151">
        <f t="shared" si="0"/>
        <v>4</v>
      </c>
      <c r="C18" s="347">
        <v>1</v>
      </c>
      <c r="D18" s="347">
        <v>1</v>
      </c>
      <c r="E18" s="347">
        <v>1</v>
      </c>
      <c r="F18" s="347">
        <v>1</v>
      </c>
      <c r="G18" s="348"/>
      <c r="H18" s="348"/>
      <c r="I18" s="348"/>
    </row>
    <row r="19" spans="1:14" x14ac:dyDescent="0.35">
      <c r="A19" s="286" t="s">
        <v>437</v>
      </c>
      <c r="B19" s="151">
        <f t="shared" si="0"/>
        <v>0</v>
      </c>
      <c r="C19" s="347"/>
      <c r="D19" s="347"/>
      <c r="E19" s="347"/>
      <c r="F19" s="347"/>
      <c r="G19" s="348"/>
      <c r="H19" s="348"/>
      <c r="I19" s="348"/>
    </row>
    <row r="20" spans="1:14" x14ac:dyDescent="0.35">
      <c r="A20" s="285"/>
      <c r="B20" s="150"/>
      <c r="C20" s="332"/>
      <c r="D20" s="348"/>
      <c r="E20" s="348"/>
      <c r="F20" s="332"/>
      <c r="G20" s="348"/>
      <c r="H20" s="348"/>
      <c r="I20" s="348"/>
    </row>
    <row r="21" spans="1:14" ht="15" thickBot="1" x14ac:dyDescent="0.4">
      <c r="A21" s="287" t="s">
        <v>339</v>
      </c>
      <c r="B21" s="288"/>
      <c r="C21" s="333">
        <f>SUM(C3:C18)</f>
        <v>13</v>
      </c>
      <c r="D21" s="333">
        <f t="shared" ref="D21:F21" si="1">SUM(D3:D18)</f>
        <v>14</v>
      </c>
      <c r="E21" s="333">
        <f t="shared" si="1"/>
        <v>14</v>
      </c>
      <c r="F21" s="333">
        <f t="shared" si="1"/>
        <v>14</v>
      </c>
      <c r="G21" s="348"/>
      <c r="H21" s="348"/>
      <c r="I21" s="348"/>
      <c r="J21" s="348"/>
      <c r="K21" s="348"/>
      <c r="L21" s="348"/>
      <c r="M21" s="348"/>
      <c r="N21" s="348"/>
    </row>
  </sheetData>
  <pageMargins left="0.7" right="0.7" top="0.75" bottom="0.75" header="0.3" footer="0.3"/>
  <pageSetup paperSize="9" orientation="portrait" verticalDpi="0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E3B994-9DB6-4623-A67B-C7602D700A9C}">
  <sheetPr codeName="Feuil12"/>
  <dimension ref="A1:T21"/>
  <sheetViews>
    <sheetView zoomScale="80" zoomScaleNormal="80" workbookViewId="0">
      <selection activeCell="F19" sqref="F19"/>
    </sheetView>
  </sheetViews>
  <sheetFormatPr baseColWidth="10" defaultRowHeight="14.5" x14ac:dyDescent="0.35"/>
  <cols>
    <col min="1" max="1" width="23.54296875" customWidth="1"/>
    <col min="2" max="2" width="8.54296875" customWidth="1"/>
    <col min="3" max="3" width="7.26953125" customWidth="1"/>
    <col min="4" max="4" width="7.36328125" customWidth="1"/>
    <col min="5" max="5" width="8.26953125" customWidth="1"/>
    <col min="6" max="6" width="7.1796875" customWidth="1"/>
    <col min="7" max="7" width="7.36328125" customWidth="1"/>
    <col min="8" max="8" width="7.81640625" customWidth="1"/>
    <col min="9" max="9" width="7.54296875" customWidth="1"/>
    <col min="10" max="10" width="7.7265625" customWidth="1"/>
    <col min="11" max="11" width="6.90625" customWidth="1"/>
    <col min="12" max="12" width="7.7265625" customWidth="1"/>
    <col min="13" max="13" width="8.36328125" customWidth="1"/>
  </cols>
  <sheetData>
    <row r="1" spans="1:20" x14ac:dyDescent="0.35">
      <c r="A1" s="474" t="s">
        <v>341</v>
      </c>
      <c r="B1" s="474"/>
      <c r="C1" s="334"/>
      <c r="D1" s="343"/>
      <c r="E1" s="343"/>
      <c r="F1" s="343"/>
      <c r="G1" s="343"/>
      <c r="H1" s="343"/>
      <c r="I1" s="343"/>
      <c r="J1" s="343"/>
      <c r="K1" s="343"/>
      <c r="L1" s="343"/>
      <c r="M1" s="343"/>
      <c r="N1" s="343"/>
      <c r="O1" s="343"/>
      <c r="P1" s="343"/>
      <c r="Q1" s="343"/>
      <c r="R1" s="343"/>
      <c r="S1" s="343"/>
      <c r="T1" s="343"/>
    </row>
    <row r="2" spans="1:20" x14ac:dyDescent="0.35">
      <c r="A2" s="158" t="s">
        <v>3</v>
      </c>
      <c r="B2" s="158" t="s">
        <v>340</v>
      </c>
      <c r="C2" s="158" t="s">
        <v>558</v>
      </c>
      <c r="D2" s="158" t="s">
        <v>559</v>
      </c>
      <c r="E2" s="158" t="s">
        <v>560</v>
      </c>
      <c r="F2" s="158" t="s">
        <v>561</v>
      </c>
      <c r="G2" s="330"/>
      <c r="H2" s="330"/>
      <c r="I2" s="330"/>
      <c r="J2" s="330"/>
      <c r="K2" s="330"/>
    </row>
    <row r="3" spans="1:20" x14ac:dyDescent="0.35">
      <c r="A3" s="344" t="s">
        <v>284</v>
      </c>
      <c r="B3" s="159">
        <f>AVERAGE(C3:T3)</f>
        <v>30</v>
      </c>
      <c r="C3" s="158">
        <v>30</v>
      </c>
      <c r="D3" s="158">
        <v>30</v>
      </c>
      <c r="E3" s="158">
        <v>30</v>
      </c>
      <c r="F3" s="158">
        <v>30</v>
      </c>
      <c r="G3" s="330"/>
      <c r="H3" s="330"/>
      <c r="I3" s="330"/>
      <c r="J3" s="330"/>
      <c r="K3" s="330"/>
    </row>
    <row r="4" spans="1:20" x14ac:dyDescent="0.35">
      <c r="A4" s="344" t="s">
        <v>436</v>
      </c>
      <c r="B4" s="159">
        <f t="shared" ref="B4:B19" si="0">AVERAGE(C4:T4)</f>
        <v>30</v>
      </c>
      <c r="C4" s="158">
        <v>30</v>
      </c>
      <c r="D4" s="158">
        <v>30</v>
      </c>
      <c r="E4" s="158">
        <v>30</v>
      </c>
      <c r="F4" s="158">
        <v>30</v>
      </c>
      <c r="G4" s="330"/>
      <c r="H4" s="330"/>
      <c r="I4" s="330"/>
      <c r="J4" s="330"/>
      <c r="K4" s="330"/>
    </row>
    <row r="5" spans="1:20" x14ac:dyDescent="0.35">
      <c r="A5" s="344" t="s">
        <v>432</v>
      </c>
      <c r="B5" s="159">
        <f t="shared" si="0"/>
        <v>27</v>
      </c>
      <c r="C5" s="158">
        <v>35</v>
      </c>
      <c r="D5" s="158">
        <v>30</v>
      </c>
      <c r="E5" s="158">
        <v>30</v>
      </c>
      <c r="F5" s="158">
        <v>13</v>
      </c>
      <c r="G5" s="330"/>
      <c r="H5" s="330"/>
      <c r="I5" s="330"/>
      <c r="J5" s="330"/>
      <c r="K5" s="330"/>
    </row>
    <row r="6" spans="1:20" x14ac:dyDescent="0.35">
      <c r="A6" s="344" t="s">
        <v>285</v>
      </c>
      <c r="B6" s="159">
        <f t="shared" si="0"/>
        <v>33</v>
      </c>
      <c r="C6" s="158">
        <v>25</v>
      </c>
      <c r="D6" s="158">
        <v>30</v>
      </c>
      <c r="E6" s="158">
        <v>30</v>
      </c>
      <c r="F6" s="158">
        <v>47</v>
      </c>
      <c r="G6" s="330"/>
      <c r="H6" s="330"/>
      <c r="I6" s="330"/>
      <c r="J6" s="330"/>
      <c r="K6" s="330"/>
    </row>
    <row r="7" spans="1:20" x14ac:dyDescent="0.35">
      <c r="A7" s="344" t="s">
        <v>286</v>
      </c>
      <c r="B7" s="159">
        <f t="shared" si="0"/>
        <v>30</v>
      </c>
      <c r="C7" s="158">
        <v>45</v>
      </c>
      <c r="D7" s="158">
        <v>30</v>
      </c>
      <c r="E7" s="158">
        <v>0</v>
      </c>
      <c r="F7" s="158">
        <v>45</v>
      </c>
      <c r="G7" s="330"/>
      <c r="H7" s="330"/>
      <c r="I7" s="330"/>
      <c r="J7" s="330"/>
      <c r="K7" s="330"/>
    </row>
    <row r="8" spans="1:20" x14ac:dyDescent="0.35">
      <c r="A8" s="344" t="s">
        <v>434</v>
      </c>
      <c r="B8" s="159">
        <f t="shared" si="0"/>
        <v>40</v>
      </c>
      <c r="C8" s="158">
        <v>45</v>
      </c>
      <c r="D8" s="158">
        <v>30</v>
      </c>
      <c r="E8" s="158">
        <v>40</v>
      </c>
      <c r="F8" s="158">
        <v>45</v>
      </c>
      <c r="G8" s="330"/>
      <c r="H8" s="330"/>
      <c r="I8" s="330"/>
      <c r="J8" s="330"/>
      <c r="K8" s="330"/>
    </row>
    <row r="9" spans="1:20" x14ac:dyDescent="0.35">
      <c r="A9" s="344" t="s">
        <v>287</v>
      </c>
      <c r="B9" s="159">
        <f t="shared" si="0"/>
        <v>33.75</v>
      </c>
      <c r="C9" s="158">
        <v>35</v>
      </c>
      <c r="D9" s="158">
        <v>30</v>
      </c>
      <c r="E9" s="158">
        <v>40</v>
      </c>
      <c r="F9" s="158">
        <v>30</v>
      </c>
      <c r="G9" s="330"/>
      <c r="H9" s="330"/>
      <c r="I9" s="330"/>
      <c r="J9" s="330"/>
      <c r="K9" s="330"/>
    </row>
    <row r="10" spans="1:20" x14ac:dyDescent="0.35">
      <c r="A10" s="344" t="s">
        <v>288</v>
      </c>
      <c r="B10" s="159">
        <f t="shared" si="0"/>
        <v>28.75</v>
      </c>
      <c r="C10" s="158">
        <v>25</v>
      </c>
      <c r="D10" s="158">
        <v>30</v>
      </c>
      <c r="E10" s="158">
        <v>30</v>
      </c>
      <c r="F10" s="158">
        <v>30</v>
      </c>
      <c r="G10" s="330"/>
      <c r="H10" s="330"/>
      <c r="I10" s="330"/>
      <c r="J10" s="330"/>
      <c r="K10" s="330"/>
    </row>
    <row r="11" spans="1:20" x14ac:dyDescent="0.35">
      <c r="A11" s="344" t="s">
        <v>289</v>
      </c>
      <c r="B11" s="159">
        <f t="shared" si="0"/>
        <v>30</v>
      </c>
      <c r="C11" s="158">
        <v>30</v>
      </c>
      <c r="D11" s="158">
        <v>30</v>
      </c>
      <c r="E11" s="158">
        <v>30</v>
      </c>
      <c r="F11" s="158">
        <v>30</v>
      </c>
      <c r="G11" s="330"/>
      <c r="H11" s="330"/>
      <c r="I11" s="330"/>
      <c r="J11" s="330"/>
      <c r="K11" s="330"/>
    </row>
    <row r="12" spans="1:20" x14ac:dyDescent="0.35">
      <c r="A12" s="344" t="s">
        <v>433</v>
      </c>
      <c r="B12" s="159">
        <f t="shared" si="0"/>
        <v>30</v>
      </c>
      <c r="C12" s="158">
        <v>30</v>
      </c>
      <c r="D12" s="158">
        <v>30</v>
      </c>
      <c r="E12" s="158">
        <v>30</v>
      </c>
      <c r="F12" s="158">
        <v>30</v>
      </c>
      <c r="G12" s="330"/>
      <c r="H12" s="330"/>
      <c r="I12" s="330"/>
      <c r="J12" s="330"/>
      <c r="K12" s="330"/>
    </row>
    <row r="13" spans="1:20" x14ac:dyDescent="0.35">
      <c r="A13" s="344" t="s">
        <v>290</v>
      </c>
      <c r="B13" s="159">
        <f t="shared" si="0"/>
        <v>30</v>
      </c>
      <c r="C13" s="158">
        <v>30</v>
      </c>
      <c r="D13" s="158">
        <v>30</v>
      </c>
      <c r="E13" s="158">
        <v>30</v>
      </c>
      <c r="F13" s="158">
        <v>30</v>
      </c>
      <c r="G13" s="330"/>
      <c r="H13" s="330"/>
      <c r="I13" s="330"/>
      <c r="J13" s="330"/>
      <c r="K13" s="330"/>
    </row>
    <row r="14" spans="1:20" x14ac:dyDescent="0.35">
      <c r="A14" s="344" t="s">
        <v>291</v>
      </c>
      <c r="B14" s="159">
        <f t="shared" si="0"/>
        <v>30</v>
      </c>
      <c r="C14" s="158">
        <v>30</v>
      </c>
      <c r="D14" s="158">
        <v>30</v>
      </c>
      <c r="E14" s="158">
        <v>30</v>
      </c>
      <c r="F14" s="158">
        <v>30</v>
      </c>
      <c r="G14" s="330"/>
      <c r="H14" s="330"/>
      <c r="I14" s="330"/>
      <c r="J14" s="330"/>
      <c r="K14" s="330"/>
    </row>
    <row r="15" spans="1:20" x14ac:dyDescent="0.35">
      <c r="A15" s="344" t="s">
        <v>292</v>
      </c>
      <c r="B15" s="159">
        <f t="shared" si="0"/>
        <v>20</v>
      </c>
      <c r="C15" s="158">
        <v>0</v>
      </c>
      <c r="D15" s="158">
        <v>40</v>
      </c>
      <c r="E15" s="158">
        <v>40</v>
      </c>
      <c r="F15" s="158">
        <v>0</v>
      </c>
      <c r="G15" s="330"/>
      <c r="H15" s="330"/>
      <c r="I15" s="330"/>
      <c r="J15" s="330"/>
      <c r="K15" s="330"/>
    </row>
    <row r="16" spans="1:20" x14ac:dyDescent="0.35">
      <c r="A16" s="344" t="s">
        <v>293</v>
      </c>
      <c r="B16" s="159">
        <f t="shared" si="0"/>
        <v>0</v>
      </c>
      <c r="C16" s="158">
        <v>0</v>
      </c>
      <c r="D16" s="158">
        <v>0</v>
      </c>
      <c r="E16" s="158">
        <v>0</v>
      </c>
      <c r="F16" s="158">
        <v>0</v>
      </c>
      <c r="G16" s="330"/>
      <c r="H16" s="330"/>
      <c r="I16" s="330"/>
      <c r="J16" s="330"/>
      <c r="K16" s="330"/>
    </row>
    <row r="17" spans="1:11" x14ac:dyDescent="0.35">
      <c r="A17" s="344" t="s">
        <v>294</v>
      </c>
      <c r="B17" s="159">
        <f t="shared" si="0"/>
        <v>2.5</v>
      </c>
      <c r="C17" s="158">
        <v>0</v>
      </c>
      <c r="D17" s="158">
        <v>0</v>
      </c>
      <c r="E17" s="158">
        <v>10</v>
      </c>
      <c r="F17" s="158">
        <v>0</v>
      </c>
      <c r="G17" s="330"/>
      <c r="H17" s="330"/>
      <c r="I17" s="330"/>
      <c r="J17" s="330"/>
      <c r="K17" s="330"/>
    </row>
    <row r="18" spans="1:11" x14ac:dyDescent="0.35">
      <c r="A18" s="344" t="s">
        <v>435</v>
      </c>
      <c r="B18" s="159">
        <f t="shared" si="0"/>
        <v>25</v>
      </c>
      <c r="C18" s="158">
        <v>30</v>
      </c>
      <c r="D18" s="158">
        <v>20</v>
      </c>
      <c r="E18" s="158">
        <v>20</v>
      </c>
      <c r="F18" s="158">
        <v>30</v>
      </c>
      <c r="G18" s="330"/>
      <c r="H18" s="330"/>
      <c r="I18" s="330"/>
      <c r="J18" s="330"/>
      <c r="K18" s="330"/>
    </row>
    <row r="19" spans="1:11" x14ac:dyDescent="0.35">
      <c r="A19" s="344" t="s">
        <v>437</v>
      </c>
      <c r="B19" s="159">
        <f t="shared" si="0"/>
        <v>0</v>
      </c>
      <c r="C19" s="158">
        <v>0</v>
      </c>
      <c r="D19" s="158">
        <v>0</v>
      </c>
      <c r="E19" s="158">
        <v>0</v>
      </c>
      <c r="F19" s="158">
        <v>0</v>
      </c>
      <c r="G19" s="330"/>
      <c r="H19" s="330"/>
      <c r="I19" s="330"/>
      <c r="J19" s="330"/>
      <c r="K19" s="330"/>
    </row>
    <row r="20" spans="1:11" x14ac:dyDescent="0.35">
      <c r="A20" s="97"/>
      <c r="B20" s="159" t="e">
        <f t="shared" ref="B4:B21" si="1">AVERAGE(C20:T20)</f>
        <v>#DIV/0!</v>
      </c>
      <c r="C20" s="97"/>
    </row>
    <row r="21" spans="1:11" x14ac:dyDescent="0.35">
      <c r="A21" s="345" t="s">
        <v>342</v>
      </c>
      <c r="B21" s="159">
        <f t="shared" si="1"/>
        <v>420</v>
      </c>
      <c r="C21" s="12">
        <f>SUM(C3:C19)</f>
        <v>420</v>
      </c>
      <c r="D21" s="12">
        <f t="shared" ref="D21:F21" si="2">SUM(D3:D19)</f>
        <v>420</v>
      </c>
      <c r="E21" s="12">
        <f t="shared" si="2"/>
        <v>420</v>
      </c>
      <c r="F21" s="12">
        <f t="shared" si="2"/>
        <v>420</v>
      </c>
    </row>
  </sheetData>
  <mergeCells count="1">
    <mergeCell ref="A1:B1"/>
  </mergeCells>
  <pageMargins left="0.7" right="0.7" top="0.75" bottom="0.75" header="0.3" footer="0.3"/>
  <pageSetup paperSize="9" orientation="portrait" verticalDpi="0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C9FCA2-AE23-4122-BE3A-AD5006B0183B}">
  <sheetPr codeName="Feuil13"/>
  <dimension ref="A1:N34"/>
  <sheetViews>
    <sheetView topLeftCell="B3" workbookViewId="0">
      <selection activeCell="N5" sqref="N5"/>
    </sheetView>
  </sheetViews>
  <sheetFormatPr baseColWidth="10" defaultRowHeight="14.5" x14ac:dyDescent="0.35"/>
  <cols>
    <col min="2" max="2" width="20.1796875" customWidth="1"/>
    <col min="8" max="8" width="8.1796875" customWidth="1"/>
    <col min="9" max="9" width="8.7265625" customWidth="1"/>
  </cols>
  <sheetData>
    <row r="1" spans="1:14" ht="15" customHeight="1" x14ac:dyDescent="0.35">
      <c r="A1" s="483" t="s">
        <v>215</v>
      </c>
      <c r="B1" s="484"/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  <c r="N1" s="484"/>
    </row>
    <row r="2" spans="1:14" ht="15.75" customHeight="1" thickBot="1" x14ac:dyDescent="0.4">
      <c r="A2" s="485"/>
      <c r="B2" s="466"/>
      <c r="C2" s="466"/>
      <c r="D2" s="466"/>
      <c r="E2" s="466"/>
      <c r="F2" s="466"/>
      <c r="G2" s="466"/>
      <c r="H2" s="466"/>
      <c r="I2" s="466"/>
      <c r="J2" s="466"/>
      <c r="K2" s="466"/>
      <c r="L2" s="466"/>
      <c r="M2" s="466"/>
      <c r="N2" s="466"/>
    </row>
    <row r="3" spans="1:14" ht="36.5" thickBot="1" x14ac:dyDescent="0.4">
      <c r="A3" s="475" t="s">
        <v>142</v>
      </c>
      <c r="B3" s="169"/>
      <c r="C3" s="170" t="s">
        <v>11</v>
      </c>
      <c r="D3" s="171" t="s">
        <v>29</v>
      </c>
      <c r="E3" s="171" t="s">
        <v>20</v>
      </c>
      <c r="F3" s="171" t="s">
        <v>10</v>
      </c>
      <c r="G3" s="171" t="s">
        <v>30</v>
      </c>
      <c r="H3" s="172" t="s">
        <v>360</v>
      </c>
      <c r="I3" s="172" t="s">
        <v>280</v>
      </c>
      <c r="J3" s="172" t="s">
        <v>13</v>
      </c>
      <c r="K3" s="169" t="s">
        <v>31</v>
      </c>
      <c r="L3" s="170" t="s">
        <v>143</v>
      </c>
      <c r="M3" s="171" t="s">
        <v>144</v>
      </c>
      <c r="N3" s="173" t="s">
        <v>145</v>
      </c>
    </row>
    <row r="4" spans="1:14" ht="16" thickBot="1" x14ac:dyDescent="0.4">
      <c r="A4" s="476"/>
      <c r="B4" s="174" t="s">
        <v>316</v>
      </c>
      <c r="C4" s="175">
        <f>COUNTIFS('Données brutes'!F:F,"But",'Données brutes'!K:K,"Sep 34")</f>
        <v>8</v>
      </c>
      <c r="D4" s="176">
        <f>COUNTIFS('Données brutes'!F:F,"7m / 7m 2min",'Données brutes'!K:K,"Sep 34")</f>
        <v>1</v>
      </c>
      <c r="E4" s="176">
        <f>COUNTIFS('Données brutes'!F:F,"Ar GB",'Données brutes'!K:K,"Sep 34")</f>
        <v>9</v>
      </c>
      <c r="F4" s="176">
        <f>COUNTIFS('Données brutes'!F:F,"HC",'Données brutes'!K:K,"Sep 34")</f>
        <v>2</v>
      </c>
      <c r="G4" s="176">
        <f>COUNTIFS('Données brutes'!F:F,"PDB",'Données brutes'!K:K,"Sep 34")</f>
        <v>6</v>
      </c>
      <c r="H4" s="361">
        <f>COUNTIFS('Données brutes'!F:F,"Tir raté NC",'Données brutes'!K:K,"Sep 34")</f>
        <v>0</v>
      </c>
      <c r="I4" s="358">
        <f>COUNTIFS('Données brutes'!F:F,"Arret NC",'Données brutes'!K:K,"Sep 34")</f>
        <v>1</v>
      </c>
      <c r="J4" s="176">
        <f>COUNTIFS('Données brutes'!F:F,"Neut Contre",'Données brutes'!K:K,"Sep 34")</f>
        <v>5</v>
      </c>
      <c r="K4" s="177">
        <f>(C4+D4)/(C4+D4+E4+F4+G4)</f>
        <v>0.34615384615384615</v>
      </c>
      <c r="L4" s="178">
        <f>SUM(C4:J4)</f>
        <v>32</v>
      </c>
      <c r="M4" s="179">
        <f>L4/$N$4</f>
        <v>8</v>
      </c>
      <c r="N4" s="45">
        <v>4</v>
      </c>
    </row>
    <row r="5" spans="1:14" ht="15" thickBot="1" x14ac:dyDescent="0.4">
      <c r="A5" s="476"/>
      <c r="B5" s="180" t="s">
        <v>317</v>
      </c>
      <c r="C5" s="181">
        <f>COUNTIFS('Données brutes'!F:F,"But",'Données brutes'!K:K,"YOUGO 34")</f>
        <v>0</v>
      </c>
      <c r="D5" s="182">
        <f>COUNTIFS('Données brutes'!F:F,"7m / 7m 2min",'Données brutes'!K:K,"YOUGO 34")</f>
        <v>1</v>
      </c>
      <c r="E5" s="182">
        <f>COUNTIFS('Données brutes'!F:F,"Ar GB",'Données brutes'!K:K,"YOUGO 34")</f>
        <v>0</v>
      </c>
      <c r="F5" s="182">
        <f>COUNTIFS('Données brutes'!F:F,"HC",'Données brutes'!K:K,"YOUGO 34")</f>
        <v>1</v>
      </c>
      <c r="G5" s="182">
        <f>COUNTIFS('Données brutes'!F:F,"PDB",'Données brutes'!K:K,"YOUGO 34")</f>
        <v>1</v>
      </c>
      <c r="H5" s="361">
        <f>COUNTIFS('Données brutes'!F:F,"Tir raté NC",'Données brutes'!K:K,"YOUGO 34")</f>
        <v>0</v>
      </c>
      <c r="I5" s="358">
        <f>COUNTIFS('Données brutes'!F:F,"Arret NC",'Données brutes'!K:K,"Sep 34")</f>
        <v>1</v>
      </c>
      <c r="J5" s="182">
        <f>COUNTIFS('Données brutes'!F:F,"Neut Contre",'Données brutes'!K:K,"YOUGO 34")</f>
        <v>0</v>
      </c>
      <c r="K5" s="183">
        <f t="shared" ref="K5:K8" si="0">(C5+D5)/(C5+D5+E5+F5+G5)</f>
        <v>0.33333333333333331</v>
      </c>
      <c r="L5" s="184">
        <f t="shared" ref="L5:L29" si="1">SUM(C5:J5)</f>
        <v>4</v>
      </c>
      <c r="M5" s="185">
        <f t="shared" ref="M5:M29" si="2">L5/$N$4</f>
        <v>1</v>
      </c>
      <c r="N5" s="186"/>
    </row>
    <row r="6" spans="1:14" ht="15" thickBot="1" x14ac:dyDescent="0.4">
      <c r="A6" s="476"/>
      <c r="B6" s="187" t="s">
        <v>429</v>
      </c>
      <c r="C6" s="181">
        <f>COUNTIFS('Données brutes'!F:F,"But",'Données brutes'!K:K,"METZ")</f>
        <v>3</v>
      </c>
      <c r="D6" s="182">
        <f>COUNTIFS('Données brutes'!F:F,"7m / 7m 2min",'Données brutes'!K:K,"METZ")</f>
        <v>1</v>
      </c>
      <c r="E6" s="182">
        <f>COUNTIFS('Données brutes'!F:F,"Ar GB",'Données brutes'!K:K,"METZ")</f>
        <v>1</v>
      </c>
      <c r="F6" s="182">
        <f>COUNTIFS('Données brutes'!F:F,"HC",'Données brutes'!K:K,"METZ")</f>
        <v>1</v>
      </c>
      <c r="G6" s="182">
        <f>COUNTIFS('Données brutes'!F:F,"PDB",'Données brutes'!K:K,"METZ")</f>
        <v>0</v>
      </c>
      <c r="H6" s="361">
        <f>COUNTIFS('Données brutes'!F:F,"Tir raté NC",'Données brutes'!K:K,"METZ")</f>
        <v>1</v>
      </c>
      <c r="I6" s="358">
        <f>COUNTIFS('Données brutes'!F:F,"Arret NC",'Données brutes'!K:K,"Sep 34")</f>
        <v>1</v>
      </c>
      <c r="J6" s="182">
        <f>COUNTIFS('Données brutes'!F:F,"Neut Contre",'Données brutes'!K:K,"METZ")</f>
        <v>3</v>
      </c>
      <c r="K6" s="183">
        <f t="shared" si="0"/>
        <v>0.66666666666666663</v>
      </c>
      <c r="L6" s="184">
        <f t="shared" si="1"/>
        <v>11</v>
      </c>
      <c r="M6" s="185">
        <f t="shared" si="2"/>
        <v>2.75</v>
      </c>
      <c r="N6" s="186"/>
    </row>
    <row r="7" spans="1:14" ht="15" thickBot="1" x14ac:dyDescent="0.4">
      <c r="A7" s="476"/>
      <c r="B7" s="180" t="s">
        <v>417</v>
      </c>
      <c r="C7" s="181">
        <f>COUNTIFS('Données brutes'!F:F,"But",'Données brutes'!K:K,"YAGO")</f>
        <v>5</v>
      </c>
      <c r="D7" s="182">
        <f>COUNTIFS('Données brutes'!F:F,"7m / 7m 2min",'Données brutes'!K:K,"YAGO")</f>
        <v>1</v>
      </c>
      <c r="E7" s="182">
        <f>COUNTIFS('Données brutes'!F:F,"Ar GB",'Données brutes'!K:K,"YAGO")</f>
        <v>5</v>
      </c>
      <c r="F7" s="182">
        <f>COUNTIFS('Données brutes'!F:F,"HC",'Données brutes'!K:K,"YAGO")</f>
        <v>0</v>
      </c>
      <c r="G7" s="182">
        <f>COUNTIFS('Données brutes'!F:F,"PDB",'Données brutes'!K:K,"YAGO")</f>
        <v>3</v>
      </c>
      <c r="H7" s="361">
        <f>COUNTIFS('Données brutes'!F:F,"Tir raté NC",'Données brutes'!K:K,"YAGO")</f>
        <v>1</v>
      </c>
      <c r="I7" s="358">
        <f>COUNTIFS('Données brutes'!F:F,"Arret NC",'Données brutes'!K:K,"Sep 34")</f>
        <v>1</v>
      </c>
      <c r="J7" s="182">
        <f>COUNTIFS('Données brutes'!F:F,"Neut Contre",'Données brutes'!K:K,"YAGO")</f>
        <v>7</v>
      </c>
      <c r="K7" s="183">
        <f t="shared" si="0"/>
        <v>0.42857142857142855</v>
      </c>
      <c r="L7" s="184">
        <f t="shared" si="1"/>
        <v>23</v>
      </c>
      <c r="M7" s="185">
        <f t="shared" si="2"/>
        <v>5.75</v>
      </c>
      <c r="N7" s="186"/>
    </row>
    <row r="8" spans="1:14" ht="15" thickBot="1" x14ac:dyDescent="0.4">
      <c r="A8" s="476"/>
      <c r="B8" s="187" t="s">
        <v>430</v>
      </c>
      <c r="C8" s="181">
        <f>COUNTIFS('Données brutes'!F:F,"But",'Données brutes'!K:K,"ALGE")</f>
        <v>0</v>
      </c>
      <c r="D8" s="182">
        <f>COUNTIFS('Données brutes'!F:F,"7m / 7m 2min",'Données brutes'!K:K,"ALGE")</f>
        <v>0</v>
      </c>
      <c r="E8" s="182">
        <f>COUNTIFS('Données brutes'!F:F,"Ar GB",'Données brutes'!K:K,"ALGE")</f>
        <v>0</v>
      </c>
      <c r="F8" s="182">
        <f>COUNTIFS('Données brutes'!F:F,"HC",'Données brutes'!K:K,"ALGE")</f>
        <v>0</v>
      </c>
      <c r="G8" s="182">
        <f>COUNTIFS('Données brutes'!F:F,"PDB",'Données brutes'!K:K,"ALGE")</f>
        <v>0</v>
      </c>
      <c r="H8" s="361">
        <f>COUNTIFS('Données brutes'!F:F,"Tir raté NC",'Données brutes'!K:K,"ALGE")</f>
        <v>0</v>
      </c>
      <c r="I8" s="358">
        <f>COUNTIFS('Données brutes'!F:F,"Arret NC",'Données brutes'!K:K,"Sep 34")</f>
        <v>1</v>
      </c>
      <c r="J8" s="182">
        <f>COUNTIFS('Données brutes'!F:F,"Neut Contre",'Données brutes'!K:K,"ALGE")</f>
        <v>0</v>
      </c>
      <c r="K8" s="183" t="e">
        <f t="shared" si="0"/>
        <v>#DIV/0!</v>
      </c>
      <c r="L8" s="184">
        <f t="shared" si="1"/>
        <v>1</v>
      </c>
      <c r="M8" s="185">
        <f t="shared" si="2"/>
        <v>0.25</v>
      </c>
      <c r="N8" s="186"/>
    </row>
    <row r="9" spans="1:14" ht="15" thickBot="1" x14ac:dyDescent="0.4">
      <c r="A9" s="476"/>
      <c r="B9" s="187" t="s">
        <v>431</v>
      </c>
      <c r="C9" s="181">
        <f>COUNTIFS('Données brutes'!F:F,"But",'Données brutes'!K:K,"AALBORG")</f>
        <v>0</v>
      </c>
      <c r="D9" s="182">
        <f>COUNTIFS('Données brutes'!F:F,"7m / 7m 2min",'Données brutes'!K:K,"AALBORG")</f>
        <v>0</v>
      </c>
      <c r="E9" s="182">
        <f>COUNTIFS('Données brutes'!F:F,"Ar GB",'Données brutes'!K:K,"AALBORG")</f>
        <v>0</v>
      </c>
      <c r="F9" s="182">
        <f>COUNTIFS('Données brutes'!F:F,"HC",'Données brutes'!K:K,"AALBORG")</f>
        <v>0</v>
      </c>
      <c r="G9" s="182">
        <f>COUNTIFS('Données brutes'!F:F,"PDB",'Données brutes'!K:K,"AALBORG")</f>
        <v>0</v>
      </c>
      <c r="H9" s="361">
        <f>COUNTIFS('Données brutes'!F:F,"Tir raté NC",'Données brutes'!K:K,"AALBORG")</f>
        <v>0</v>
      </c>
      <c r="I9" s="358">
        <f>COUNTIFS('Données brutes'!F:F,"Arret NC",'Données brutes'!K:K,"Sep 34")</f>
        <v>1</v>
      </c>
      <c r="J9" s="182">
        <f>COUNTIFS('Données brutes'!F:F,"Neut Contre",'Données brutes'!K:K,"AALBORG")</f>
        <v>0</v>
      </c>
      <c r="K9" s="183" t="e">
        <f t="shared" ref="K9:K29" si="3">(C9+D9)/(C9+D9+E9+F9+G9)</f>
        <v>#DIV/0!</v>
      </c>
      <c r="L9" s="184">
        <f t="shared" si="1"/>
        <v>1</v>
      </c>
      <c r="M9" s="185">
        <f t="shared" si="2"/>
        <v>0.25</v>
      </c>
      <c r="N9" s="186"/>
    </row>
    <row r="10" spans="1:14" ht="15" thickBot="1" x14ac:dyDescent="0.4">
      <c r="A10" s="476"/>
      <c r="B10" s="187" t="s">
        <v>318</v>
      </c>
      <c r="C10" s="181">
        <f>COUNTIFS('Données brutes'!F:F,"But",'Données brutes'!K:K,"YOUGO int int")</f>
        <v>9</v>
      </c>
      <c r="D10" s="182">
        <f>COUNTIFS('Données brutes'!F:F,"7m / 7m 2min",'Données brutes'!K:K,"YOUGO int int")</f>
        <v>0</v>
      </c>
      <c r="E10" s="182">
        <f>COUNTIFS('Données brutes'!F:F,"Ar GB",'Données brutes'!K:K,"YOUGO int int")</f>
        <v>2</v>
      </c>
      <c r="F10" s="182">
        <f>COUNTIFS('Données brutes'!F:F,"HC",'Données brutes'!K:K,"YOUGO int int")</f>
        <v>4</v>
      </c>
      <c r="G10" s="182">
        <f>COUNTIFS('Données brutes'!F:F,"PDB",'Données brutes'!K:K,"YOUGO int int")</f>
        <v>1</v>
      </c>
      <c r="H10" s="361">
        <f>COUNTIFS('Données brutes'!F:F,"Tir raté NC",'Données brutes'!K:K,"YOUGO int int")</f>
        <v>0</v>
      </c>
      <c r="I10" s="358">
        <f>COUNTIFS('Données brutes'!F:F,"Arret NC",'Données brutes'!K:K,"Sep 34")</f>
        <v>1</v>
      </c>
      <c r="J10" s="182">
        <f>COUNTIFS('Données brutes'!F:F,"Neut Contre",'Données brutes'!K:K,"YOUGO int int")</f>
        <v>5</v>
      </c>
      <c r="K10" s="183">
        <f t="shared" si="3"/>
        <v>0.5625</v>
      </c>
      <c r="L10" s="184">
        <f t="shared" si="1"/>
        <v>22</v>
      </c>
      <c r="M10" s="185">
        <f t="shared" si="2"/>
        <v>5.5</v>
      </c>
      <c r="N10" s="186"/>
    </row>
    <row r="11" spans="1:14" ht="15" thickBot="1" x14ac:dyDescent="0.4">
      <c r="A11" s="476"/>
      <c r="B11" s="187" t="s">
        <v>133</v>
      </c>
      <c r="C11" s="181">
        <f>COUNTIFS('Données brutes'!F:F,"But",'Données brutes'!K:K,"ESPAGNOL")</f>
        <v>2</v>
      </c>
      <c r="D11" s="182">
        <f>COUNTIFS('Données brutes'!F:F,"7m / 7m 2min",'Données brutes'!K:K,"ESPAGNOL")</f>
        <v>1</v>
      </c>
      <c r="E11" s="182">
        <f>COUNTIFS('Données brutes'!F:F,"Ar GB",'Données brutes'!K:K,"ESPAGNOL")</f>
        <v>1</v>
      </c>
      <c r="F11" s="182">
        <f>COUNTIFS('Données brutes'!F:F,"HC",'Données brutes'!K:K,"ESPAGNOL")</f>
        <v>5</v>
      </c>
      <c r="G11" s="182">
        <f>COUNTIFS('Données brutes'!F:F,"PDB",'Données brutes'!K:K,"ESPAGNOL")</f>
        <v>5</v>
      </c>
      <c r="H11" s="361">
        <f>COUNTIFS('Données brutes'!F:F,"Tir raté NC",'Données brutes'!K:K,"ESPAGNOL")</f>
        <v>0</v>
      </c>
      <c r="I11" s="358">
        <f>COUNTIFS('Données brutes'!F:F,"Arret NC",'Données brutes'!K:K,"Sep 34")</f>
        <v>1</v>
      </c>
      <c r="J11" s="182">
        <f>COUNTIFS('Données brutes'!F:F,"Neut Contre",'Données brutes'!K:K,"ESPAGNOL")</f>
        <v>2</v>
      </c>
      <c r="K11" s="183">
        <f t="shared" si="3"/>
        <v>0.21428571428571427</v>
      </c>
      <c r="L11" s="184">
        <f t="shared" si="1"/>
        <v>17</v>
      </c>
      <c r="M11" s="185">
        <f t="shared" si="2"/>
        <v>4.25</v>
      </c>
      <c r="N11" s="186"/>
    </row>
    <row r="12" spans="1:14" ht="15" thickBot="1" x14ac:dyDescent="0.4">
      <c r="A12" s="476"/>
      <c r="B12" s="187" t="s">
        <v>320</v>
      </c>
      <c r="C12" s="181">
        <f>COUNTIFS('Données brutes'!F:F,"But",'Données brutes'!K:K,"HONGROIS")</f>
        <v>0</v>
      </c>
      <c r="D12" s="182">
        <f>COUNTIFS('Données brutes'!F:F,"7m / 7m 2min",'Données brutes'!K:K,"HONGROIS")</f>
        <v>0</v>
      </c>
      <c r="E12" s="182">
        <f>COUNTIFS('Données brutes'!F:F,"Ar GB",'Données brutes'!K:K,"HONGROIS")</f>
        <v>0</v>
      </c>
      <c r="F12" s="182">
        <f>COUNTIFS('Données brutes'!F:F,"HC",'Données brutes'!K:K,"HONGROIS")</f>
        <v>0</v>
      </c>
      <c r="G12" s="182">
        <f>COUNTIFS('Données brutes'!F:F,"PDB",'Données brutes'!K:K,"HONGROIS")</f>
        <v>0</v>
      </c>
      <c r="H12" s="361">
        <f>COUNTIFS('Données brutes'!F:F,"Tir raté NC",'Données brutes'!K:K,"HONGROIS")</f>
        <v>0</v>
      </c>
      <c r="I12" s="358">
        <f>COUNTIFS('Données brutes'!F:F,"Arret NC",'Données brutes'!K:K,"Sep 34")</f>
        <v>1</v>
      </c>
      <c r="J12" s="182">
        <f>COUNTIFS('Données brutes'!F:F,"Neut Contre",'Données brutes'!K:K,"HONGROIS")</f>
        <v>0</v>
      </c>
      <c r="K12" s="183" t="e">
        <f t="shared" si="3"/>
        <v>#DIV/0!</v>
      </c>
      <c r="L12" s="184">
        <f t="shared" si="1"/>
        <v>1</v>
      </c>
      <c r="M12" s="185">
        <f t="shared" si="2"/>
        <v>0.25</v>
      </c>
      <c r="N12" s="186"/>
    </row>
    <row r="13" spans="1:14" ht="15" thickBot="1" x14ac:dyDescent="0.4">
      <c r="A13" s="476"/>
      <c r="B13" s="187" t="s">
        <v>321</v>
      </c>
      <c r="C13" s="181">
        <f>COUNTIFS('Données brutes'!F:F,"But",'Données brutes'!K:K,"PVT 12 ou 56 rentrée AL")</f>
        <v>0</v>
      </c>
      <c r="D13" s="182">
        <f>COUNTIFS('Données brutes'!F:F,"7m / 7m 2min",'Données brutes'!K:K,"PVT 12 ou 56 rentrée AL")</f>
        <v>0</v>
      </c>
      <c r="E13" s="182">
        <f>COUNTIFS('Données brutes'!F:F,"Ar GB",'Données brutes'!K:K,"PVT 12 ou 56 rentrée AL")</f>
        <v>0</v>
      </c>
      <c r="F13" s="182">
        <f>COUNTIFS('Données brutes'!F:F,"HC",'Données brutes'!K:K,"PVT 12 ou 56 rentrée AL")</f>
        <v>0</v>
      </c>
      <c r="G13" s="182">
        <f>COUNTIFS('Données brutes'!F:F,"PDB",'Données brutes'!K:K,"PVT 12 ou 56 rentrée AL")</f>
        <v>0</v>
      </c>
      <c r="H13" s="361">
        <f>COUNTIFS('Données brutes'!F:F,"Tir raté NC",'Données brutes'!K:K,"PVT 12 ou 56 rentrée AL")</f>
        <v>0</v>
      </c>
      <c r="I13" s="358">
        <f>COUNTIFS('Données brutes'!F:F,"Arret NC",'Données brutes'!K:K,"Sep 34")</f>
        <v>1</v>
      </c>
      <c r="J13" s="182">
        <f>COUNTIFS('Données brutes'!F:F,"Neut Contre",'Données brutes'!K:K,"PVT 12 ou 56 rentrée AL")</f>
        <v>0</v>
      </c>
      <c r="K13" s="183" t="e">
        <f t="shared" si="3"/>
        <v>#DIV/0!</v>
      </c>
      <c r="L13" s="184">
        <f t="shared" si="1"/>
        <v>1</v>
      </c>
      <c r="M13" s="185">
        <f t="shared" si="2"/>
        <v>0.25</v>
      </c>
      <c r="N13" s="186"/>
    </row>
    <row r="14" spans="1:14" ht="15" thickBot="1" x14ac:dyDescent="0.4">
      <c r="A14" s="476"/>
      <c r="B14" s="187" t="s">
        <v>319</v>
      </c>
      <c r="C14" s="181">
        <f>COUNTIFS('Données brutes'!F:F,"But",'Données brutes'!K:K,"YOUGO Glissé")</f>
        <v>3</v>
      </c>
      <c r="D14" s="182">
        <f>COUNTIFS('Données brutes'!F:F,"7m / 7m 2min",'Données brutes'!K:K,"YOUGO Glissé")</f>
        <v>1</v>
      </c>
      <c r="E14" s="182">
        <f>COUNTIFS('Données brutes'!F:F,"Ar GB",'Données brutes'!K:K,"YOUGO Glissé")</f>
        <v>2</v>
      </c>
      <c r="F14" s="182">
        <f>COUNTIFS('Données brutes'!F:F,"HC",'Données brutes'!K:K,"YOUGO Glissé")</f>
        <v>2</v>
      </c>
      <c r="G14" s="182">
        <f>COUNTIFS('Données brutes'!F:F,"PDB",'Données brutes'!K:K,"YOUGO Glissé")</f>
        <v>3</v>
      </c>
      <c r="H14" s="361">
        <f>COUNTIFS('Données brutes'!F:F,"Tir raté NC",'Données brutes'!K:K,"YOUGO Glissé")</f>
        <v>0</v>
      </c>
      <c r="I14" s="358">
        <f>COUNTIFS('Données brutes'!F:F,"Arret NC",'Données brutes'!K:K,"Sep 34")</f>
        <v>1</v>
      </c>
      <c r="J14" s="182">
        <f>COUNTIFS('Données brutes'!F:F,"Neut Contre",'Données brutes'!K:K,"YOUGO Glissé")</f>
        <v>3</v>
      </c>
      <c r="K14" s="183">
        <f t="shared" si="3"/>
        <v>0.36363636363636365</v>
      </c>
      <c r="L14" s="184">
        <f t="shared" si="1"/>
        <v>15</v>
      </c>
      <c r="M14" s="185">
        <f t="shared" si="2"/>
        <v>3.75</v>
      </c>
      <c r="N14" s="186"/>
    </row>
    <row r="15" spans="1:14" ht="15" thickBot="1" x14ac:dyDescent="0.4">
      <c r="A15" s="476"/>
      <c r="B15" s="187" t="s">
        <v>266</v>
      </c>
      <c r="C15" s="181">
        <f>COUNTIFS('Données brutes'!F:F,"But",'Données brutes'!K:K,"2 PVTS 12")</f>
        <v>0</v>
      </c>
      <c r="D15" s="182">
        <f>COUNTIFS('Données brutes'!F:F,"7m / 7m 2min",'Données brutes'!K:K,"2 PVTS 12")</f>
        <v>0</v>
      </c>
      <c r="E15" s="182">
        <f>COUNTIFS('Données brutes'!F:F,"Ar GB",'Données brutes'!K:K,"2 PVTS 12")</f>
        <v>0</v>
      </c>
      <c r="F15" s="182">
        <f>COUNTIFS('Données brutes'!F:F,"HC",'Données brutes'!K:K,"2 PVTS 12")</f>
        <v>0</v>
      </c>
      <c r="G15" s="182">
        <f>COUNTIFS('Données brutes'!F:F,"PDB",'Données brutes'!K:K,"2 PVTS 12")</f>
        <v>0</v>
      </c>
      <c r="H15" s="361">
        <f>COUNTIFS('Données brutes'!F:F,"Tir raté NC",'Données brutes'!K:K,"2 PVTS 12")</f>
        <v>0</v>
      </c>
      <c r="I15" s="358">
        <f>COUNTIFS('Données brutes'!F:F,"Arret NC",'Données brutes'!K:K,"Sep 34")</f>
        <v>1</v>
      </c>
      <c r="J15" s="182">
        <f>COUNTIFS('Données brutes'!F:F,"Neut Contre",'Données brutes'!K:K,"PVT 12 PVT 12")</f>
        <v>0</v>
      </c>
      <c r="K15" s="183" t="e">
        <f t="shared" si="3"/>
        <v>#DIV/0!</v>
      </c>
      <c r="L15" s="184">
        <f t="shared" si="1"/>
        <v>1</v>
      </c>
      <c r="M15" s="185">
        <f t="shared" si="2"/>
        <v>0.25</v>
      </c>
      <c r="N15" s="188"/>
    </row>
    <row r="16" spans="1:14" ht="15" thickBot="1" x14ac:dyDescent="0.4">
      <c r="A16" s="476"/>
      <c r="B16" s="187" t="s">
        <v>322</v>
      </c>
      <c r="C16" s="181">
        <f>COUNTIFS('Données brutes'!F:F,"But",'Données brutes'!K:K,"W AL 12 ou 56")</f>
        <v>7</v>
      </c>
      <c r="D16" s="182">
        <f>COUNTIFS('Données brutes'!F:F,"7m / 7m 2min",'Données brutes'!K:K,"W AL 12 ou 56")</f>
        <v>1</v>
      </c>
      <c r="E16" s="182">
        <f>COUNTIFS('Données brutes'!F:F,"Ar GB",'Données brutes'!K:K,"W AL 12 ou 56")</f>
        <v>3</v>
      </c>
      <c r="F16" s="182">
        <f>COUNTIFS('Données brutes'!F:F,"HC",'Données brutes'!K:K,"W AL 12 ou 56")</f>
        <v>3</v>
      </c>
      <c r="G16" s="182">
        <f>COUNTIFS('Données brutes'!F:F,"PDB",'Données brutes'!K:K,"W AL 12 ou 56")</f>
        <v>3</v>
      </c>
      <c r="H16" s="361">
        <f>COUNTIFS('Données brutes'!F:F,"Tir raté NC",'Données brutes'!K:K,"W AL 12 ou 56")</f>
        <v>0</v>
      </c>
      <c r="I16" s="358">
        <f>COUNTIFS('Données brutes'!F:F,"Arret NC",'Données brutes'!K:K,"Sep 34")</f>
        <v>1</v>
      </c>
      <c r="J16" s="182">
        <f>COUNTIFS('Données brutes'!F:F,"Neut Contre",'Données brutes'!K:K,"W AL 12 ou 56")</f>
        <v>5</v>
      </c>
      <c r="K16" s="183">
        <f t="shared" si="3"/>
        <v>0.47058823529411764</v>
      </c>
      <c r="L16" s="184">
        <f t="shared" si="1"/>
        <v>23</v>
      </c>
      <c r="M16" s="185">
        <f t="shared" si="2"/>
        <v>5.75</v>
      </c>
      <c r="N16" s="188"/>
    </row>
    <row r="17" spans="1:14" ht="15" thickBot="1" x14ac:dyDescent="0.4">
      <c r="A17" s="476"/>
      <c r="B17" s="189" t="s">
        <v>209</v>
      </c>
      <c r="C17" s="181">
        <f>COUNTIFS('Données brutes'!F:F,"But",'Données brutes'!K:K,"Autre")</f>
        <v>0</v>
      </c>
      <c r="D17" s="182">
        <f>COUNTIFS('Données brutes'!F:F,"7m / 7m 2min",'Données brutes'!K:K,"Autre")</f>
        <v>0</v>
      </c>
      <c r="E17" s="182">
        <f>COUNTIFS('Données brutes'!F:F,"Ar GB",'Données brutes'!K:K,"Autre")</f>
        <v>0</v>
      </c>
      <c r="F17" s="182">
        <f>COUNTIFS('Données brutes'!F:F,"HC",'Données brutes'!K:K,"Autre")</f>
        <v>0</v>
      </c>
      <c r="G17" s="182">
        <f>COUNTIFS('Données brutes'!F:F,"PDB",'Données brutes'!K:K,"Autre")</f>
        <v>0</v>
      </c>
      <c r="H17" s="361">
        <f>COUNTIFS('Données brutes'!F:F,"Tir raté NC",'Données brutes'!K:K,"Autres")</f>
        <v>0</v>
      </c>
      <c r="I17" s="358">
        <f>COUNTIFS('Données brutes'!F:F,"Arret NC",'Données brutes'!K:K,"Sep 34")</f>
        <v>1</v>
      </c>
      <c r="J17" s="182">
        <f>COUNTIFS('Données brutes'!F:F,"Neut Contre",'Données brutes'!K:K,"Autre")</f>
        <v>0</v>
      </c>
      <c r="K17" s="183" t="e">
        <f t="shared" si="3"/>
        <v>#DIV/0!</v>
      </c>
      <c r="L17" s="184">
        <f t="shared" si="1"/>
        <v>1</v>
      </c>
      <c r="M17" s="185">
        <f t="shared" si="2"/>
        <v>0.25</v>
      </c>
      <c r="N17" s="188"/>
    </row>
    <row r="18" spans="1:14" ht="15" thickBot="1" x14ac:dyDescent="0.4">
      <c r="A18" s="476"/>
      <c r="B18" s="189" t="s">
        <v>362</v>
      </c>
      <c r="C18" s="181">
        <f>COUNTIFS('Données brutes'!F:F,"But",'Données brutes'!K:K,"Grand croisé AR AR retour AL")</f>
        <v>0</v>
      </c>
      <c r="D18" s="182">
        <f>COUNTIFS('Données brutes'!F:F,"7m / 7m 2min",'Données brutes'!K:K,"Grand croisé AR AR retour AL")</f>
        <v>0</v>
      </c>
      <c r="E18" s="182">
        <f>COUNTIFS('Données brutes'!F:F,"Ar GB",'Données brutes'!K:K,"Grand croisé AR AR retour AL")</f>
        <v>1</v>
      </c>
      <c r="F18" s="182">
        <f>COUNTIFS('Données brutes'!F:F,"HC",'Données brutes'!K:K,"Grand croisé AR AR retour AL")</f>
        <v>0</v>
      </c>
      <c r="G18" s="182">
        <f>COUNTIFS('Données brutes'!F:F,"PDB",'Données brutes'!K:K,"Grand croisé AR AR retour AL")</f>
        <v>2</v>
      </c>
      <c r="H18" s="361">
        <f>COUNTIFS('Données brutes'!F:F,"Tir raté NC",'Données brutes'!K:K,"Gd croisé AR AR retour AL")</f>
        <v>0</v>
      </c>
      <c r="I18" s="358">
        <f>COUNTIFS('Données brutes'!F:F,"Arret NC",'Données brutes'!K:K,"Sep 34")</f>
        <v>1</v>
      </c>
      <c r="J18" s="182">
        <f>COUNTIFS('Données brutes'!F:F,"Neut Contre",'Données brutes'!K:K,"Grand croisé AR AR retour AL")</f>
        <v>0</v>
      </c>
      <c r="K18" s="183">
        <f t="shared" si="3"/>
        <v>0</v>
      </c>
      <c r="L18" s="184">
        <f t="shared" si="1"/>
        <v>4</v>
      </c>
      <c r="M18" s="185">
        <f t="shared" si="2"/>
        <v>1</v>
      </c>
      <c r="N18" s="188"/>
    </row>
    <row r="19" spans="1:14" ht="15" thickBot="1" x14ac:dyDescent="0.4">
      <c r="A19" s="476"/>
      <c r="B19" s="190"/>
      <c r="C19" s="191"/>
      <c r="D19" s="192"/>
      <c r="E19" s="192"/>
      <c r="F19" s="192"/>
      <c r="G19" s="192"/>
      <c r="H19" s="358"/>
      <c r="I19" s="359"/>
      <c r="J19" s="193"/>
      <c r="K19" s="194"/>
      <c r="L19" s="195"/>
      <c r="M19" s="196"/>
      <c r="N19" s="197"/>
    </row>
    <row r="20" spans="1:14" ht="15" thickBot="1" x14ac:dyDescent="0.4">
      <c r="A20" s="476"/>
      <c r="B20" s="198"/>
      <c r="C20" s="199"/>
      <c r="D20" s="200"/>
      <c r="E20" s="200"/>
      <c r="F20" s="200"/>
      <c r="G20" s="200"/>
      <c r="H20" s="358"/>
      <c r="I20" s="360"/>
      <c r="J20" s="201"/>
      <c r="K20" s="202"/>
      <c r="L20" s="203"/>
      <c r="M20" s="204"/>
      <c r="N20" s="197"/>
    </row>
    <row r="21" spans="1:14" ht="15" thickBot="1" x14ac:dyDescent="0.4">
      <c r="A21" s="476"/>
      <c r="B21" s="205" t="s">
        <v>134</v>
      </c>
      <c r="C21" s="199"/>
      <c r="D21" s="200"/>
      <c r="E21" s="200"/>
      <c r="F21" s="200"/>
      <c r="G21" s="200"/>
      <c r="H21" s="358"/>
      <c r="I21" s="360"/>
      <c r="J21" s="201"/>
      <c r="K21" s="202"/>
      <c r="L21" s="203"/>
      <c r="M21" s="204"/>
      <c r="N21" s="197"/>
    </row>
    <row r="22" spans="1:14" x14ac:dyDescent="0.35">
      <c r="A22" s="477" t="s">
        <v>159</v>
      </c>
      <c r="B22" s="206" t="s">
        <v>212</v>
      </c>
      <c r="C22" s="207">
        <f>COUNTIFS('Données brutes'!F:F,"But",'Données brutes'!O:O,"Ouv plus rentrée DC")</f>
        <v>0</v>
      </c>
      <c r="D22" s="182">
        <f>COUNTIFS('Données brutes'!F:F,"7m / 7m 2min",'Données brutes'!O:O,"Ouv plus rentrée DC")</f>
        <v>0</v>
      </c>
      <c r="E22" s="182">
        <f>COUNTIFS('Données brutes'!F:F,"Ar GB",'Données brutes'!O:O,"Ouv plus rentrée DC")</f>
        <v>0</v>
      </c>
      <c r="F22" s="182">
        <f>COUNTIFS('Données brutes'!F:F,"HC",'Données brutes'!O:O,"Ouv plus rentrée DC")</f>
        <v>0</v>
      </c>
      <c r="G22" s="182">
        <f>COUNTIFS('Données brutes'!F:F,"PDB",'Données brutes'!O:O,"Ouv plus rentrée DC")</f>
        <v>0</v>
      </c>
      <c r="H22" s="182">
        <f>COUNTIFS('Données brutes'!F:F,"Arret NC",'Données brutes'!O:O,"Ouv plus rentrée DC")</f>
        <v>0</v>
      </c>
      <c r="I22" s="360"/>
      <c r="J22" s="208">
        <f>COUNTIFS('Données brutes'!F:F,"Neut Contre",'Données brutes'!O:O,"Ouv plus rentrée DC")</f>
        <v>0</v>
      </c>
      <c r="K22" s="209" t="e">
        <f t="shared" si="3"/>
        <v>#DIV/0!</v>
      </c>
      <c r="L22" s="210">
        <f t="shared" si="1"/>
        <v>0</v>
      </c>
      <c r="M22" s="211">
        <f t="shared" si="2"/>
        <v>0</v>
      </c>
      <c r="N22" s="212"/>
    </row>
    <row r="23" spans="1:14" x14ac:dyDescent="0.35">
      <c r="A23" s="478"/>
      <c r="B23" s="213" t="s">
        <v>323</v>
      </c>
      <c r="C23" s="207">
        <f>COUNTIFS('Données brutes'!F:F,"But",'Données brutes'!O:O,"Croisé DC AR")</f>
        <v>0</v>
      </c>
      <c r="D23" s="182">
        <f>COUNTIFS('Données brutes'!F:F,"7m / 7m 2min",'Données brutes'!O:O,"Croisé DC AR")</f>
        <v>0</v>
      </c>
      <c r="E23" s="182">
        <f>COUNTIFS('Données brutes'!F:F,"Ar GB",'Données brutes'!O:O,"Croisé DC AR")</f>
        <v>0</v>
      </c>
      <c r="F23" s="182">
        <f>COUNTIFS('Données brutes'!F:F,"HC",'Données brutes'!O:O,"Croisé DC AR")</f>
        <v>0</v>
      </c>
      <c r="G23" s="182">
        <f>COUNTIFS('Données brutes'!F:F,"PDB",'Données brutes'!O:O,"Croisé DC AR")</f>
        <v>0</v>
      </c>
      <c r="H23" s="182">
        <f>COUNTIFS('Données brutes'!F:F,"Arret NC",'Données brutes'!O:O,"Ouv plus rentrée DC")</f>
        <v>0</v>
      </c>
      <c r="I23" s="360"/>
      <c r="J23" s="208">
        <f>COUNTIFS('Données brutes'!F:F,"Neut Contre",'Données brutes'!O:O,"DANOIS")</f>
        <v>0</v>
      </c>
      <c r="K23" s="209" t="e">
        <f t="shared" si="3"/>
        <v>#DIV/0!</v>
      </c>
      <c r="L23" s="210">
        <f t="shared" si="1"/>
        <v>0</v>
      </c>
      <c r="M23" s="211">
        <f t="shared" si="2"/>
        <v>0</v>
      </c>
      <c r="N23" s="214"/>
    </row>
    <row r="24" spans="1:14" x14ac:dyDescent="0.35">
      <c r="A24" s="478"/>
      <c r="B24" s="187" t="s">
        <v>324</v>
      </c>
      <c r="C24" s="207">
        <f>COUNTIFS('Données brutes'!F:F,"But",'Données brutes'!O:O,"YAGO plus ouv rentrée")</f>
        <v>0</v>
      </c>
      <c r="D24" s="182">
        <f>COUNTIFS('Données brutes'!F:F,"7m / 7m 2min",'Données brutes'!O:O,"YAGO plus ouv rentrée")</f>
        <v>0</v>
      </c>
      <c r="E24" s="182">
        <f>COUNTIFS('Données brutes'!F:F,"Ar GB",'Données brutes'!O:O,"YAGO plus ouv rentrée")</f>
        <v>0</v>
      </c>
      <c r="F24" s="182">
        <f>COUNTIFS('Données brutes'!F:F,"HC",'Données brutes'!O:O,"YAGO plus ouv rentrée")</f>
        <v>0</v>
      </c>
      <c r="G24" s="182">
        <f>COUNTIFS('Données brutes'!F:F,"PDB",'Données brutes'!O:O,"YAGO plus ouv rentrée")</f>
        <v>0</v>
      </c>
      <c r="H24" s="182">
        <f>COUNTIFS('Données brutes'!F:F,"Arret NC",'Données brutes'!O:O,"Ouv plus rentrée DC")</f>
        <v>0</v>
      </c>
      <c r="I24" s="360"/>
      <c r="J24" s="208">
        <f>COUNTIFS('Données brutes'!F:F,"Neut Contre",'Données brutes'!O:O,"YAGO plus ouv rentrée")</f>
        <v>0</v>
      </c>
      <c r="K24" s="209" t="e">
        <f t="shared" si="3"/>
        <v>#DIV/0!</v>
      </c>
      <c r="L24" s="210">
        <f t="shared" si="1"/>
        <v>0</v>
      </c>
      <c r="M24" s="211">
        <f t="shared" si="2"/>
        <v>0</v>
      </c>
      <c r="N24" s="214"/>
    </row>
    <row r="25" spans="1:14" ht="15" thickBot="1" x14ac:dyDescent="0.4">
      <c r="A25" s="478"/>
      <c r="B25" s="187" t="s">
        <v>209</v>
      </c>
      <c r="C25" s="207">
        <f>COUNTIFS('Données brutes'!F:F,"But",'Données brutes'!O:O,"Autres")</f>
        <v>0</v>
      </c>
      <c r="D25" s="182">
        <f>COUNTIFS('Données brutes'!F:F,"7m / 7m 2min",'Données brutes'!O:O,"Autres")</f>
        <v>1</v>
      </c>
      <c r="E25" s="182">
        <f>COUNTIFS('Données brutes'!F:F,"Ar GB",'Données brutes'!K:K,"Autres")</f>
        <v>0</v>
      </c>
      <c r="F25" s="182">
        <f>COUNTIFS('Données brutes'!F:F,"HC",'Données brutes'!K:K,"Autres")</f>
        <v>0</v>
      </c>
      <c r="G25" s="182">
        <f>COUNTIFS('Données brutes'!F:F,"PDB",'Données brutes'!K:K,"Autres")</f>
        <v>0</v>
      </c>
      <c r="H25" s="182">
        <f>COUNTIFS('Données brutes'!F:F,"Arret NC",'Données brutes'!O:O,"Ouv plus rentrée DC")</f>
        <v>0</v>
      </c>
      <c r="I25" s="360"/>
      <c r="J25" s="208">
        <f>COUNTIFS('Données brutes'!F:F,"Neut Contre",'Données brutes'!K:K,"Autres")</f>
        <v>0</v>
      </c>
      <c r="K25" s="209">
        <f t="shared" si="3"/>
        <v>1</v>
      </c>
      <c r="L25" s="210">
        <f t="shared" si="1"/>
        <v>1</v>
      </c>
      <c r="M25" s="211">
        <f t="shared" si="2"/>
        <v>0.25</v>
      </c>
      <c r="N25" s="214"/>
    </row>
    <row r="26" spans="1:14" ht="15" thickBot="1" x14ac:dyDescent="0.4">
      <c r="A26" s="479"/>
      <c r="B26" s="215"/>
      <c r="C26" s="199"/>
      <c r="D26" s="200"/>
      <c r="E26" s="200"/>
      <c r="F26" s="200"/>
      <c r="G26" s="200"/>
      <c r="H26" s="358"/>
      <c r="I26" s="360"/>
      <c r="J26" s="201"/>
      <c r="K26" s="202"/>
      <c r="L26" s="203"/>
      <c r="M26" s="204"/>
      <c r="N26" s="216"/>
    </row>
    <row r="27" spans="1:14" ht="15" thickBot="1" x14ac:dyDescent="0.4">
      <c r="A27" s="480" t="s">
        <v>213</v>
      </c>
      <c r="B27" s="206" t="s">
        <v>214</v>
      </c>
      <c r="C27" s="207">
        <f>COUNTIFS('Données brutes'!F:F,"But",'Données brutes'!P:P,"Ouv PVT 12")</f>
        <v>1</v>
      </c>
      <c r="D27" s="182">
        <f>COUNTIFS('Données brutes'!F:F,"7m / 7m 2min",'Données brutes'!P:P,"Ouv PVT 12")</f>
        <v>0</v>
      </c>
      <c r="E27" s="182">
        <f>COUNTIFS('Données brutes'!F:F,"Ar GB",'Données brutes'!P:P,"Ouv PVT 12")</f>
        <v>0</v>
      </c>
      <c r="F27" s="182">
        <f>COUNTIFS('Données brutes'!F:F,"HC",'Données brutes'!P:P,"Ouv PVT 12")</f>
        <v>0</v>
      </c>
      <c r="G27" s="182">
        <f>COUNTIFS('Données brutes'!F:F,"PDB",'Données brutes'!P:P,"Ouv PVT 12")</f>
        <v>0</v>
      </c>
      <c r="H27" s="350"/>
      <c r="I27" s="360"/>
      <c r="J27" s="208">
        <f>COUNTIFS('Données brutes'!F:F,"Neut Contre",'Données brutes'!K:K,"CANNES")</f>
        <v>0</v>
      </c>
      <c r="K27" s="209">
        <f t="shared" si="3"/>
        <v>1</v>
      </c>
      <c r="L27" s="210">
        <f t="shared" si="1"/>
        <v>1</v>
      </c>
      <c r="M27" s="211">
        <f t="shared" si="2"/>
        <v>0.25</v>
      </c>
      <c r="N27" s="212"/>
    </row>
    <row r="28" spans="1:14" ht="15" thickBot="1" x14ac:dyDescent="0.4">
      <c r="A28" s="481"/>
      <c r="B28" s="213" t="s">
        <v>325</v>
      </c>
      <c r="C28" s="207">
        <f>COUNTIFS('Données brutes'!F:F,"But",'Données brutes'!P:P,"POSTE")</f>
        <v>0</v>
      </c>
      <c r="D28" s="182">
        <f>COUNTIFS('Données brutes'!F:F,"7m / 7m 2min",'Données brutes'!P:P,"POSTE")</f>
        <v>0</v>
      </c>
      <c r="E28" s="182">
        <f>COUNTIFS('Données brutes'!F:F,"Ar GB",'Données brutes'!P:P,"POSTE")</f>
        <v>0</v>
      </c>
      <c r="F28" s="182">
        <f>COUNTIFS('Données brutes'!F:F,"HC",'Données brutes'!P:P,"POSTE")</f>
        <v>0</v>
      </c>
      <c r="G28" s="182">
        <f>COUNTIFS('Données brutes'!F:F,"PDB",'Données brutes'!P:P,"POSTE")</f>
        <v>0</v>
      </c>
      <c r="H28" s="350"/>
      <c r="I28" s="360"/>
      <c r="J28" s="208">
        <f>COUNTIFS('Données brutes'!F:F,"Neut Contre",'Données brutes'!P:P,"Ouv PVT 2 3")</f>
        <v>0</v>
      </c>
      <c r="K28" s="209" t="e">
        <f t="shared" si="3"/>
        <v>#DIV/0!</v>
      </c>
      <c r="L28" s="210">
        <f t="shared" si="1"/>
        <v>0</v>
      </c>
      <c r="M28" s="211">
        <f t="shared" si="2"/>
        <v>0</v>
      </c>
      <c r="N28" s="214"/>
    </row>
    <row r="29" spans="1:14" ht="15" thickBot="1" x14ac:dyDescent="0.4">
      <c r="A29" s="481"/>
      <c r="B29" s="213" t="s">
        <v>209</v>
      </c>
      <c r="C29" s="207">
        <f>COUNTIFS('Données brutes'!F:F,"But",'Données brutes'!P:P,"Autres")</f>
        <v>2</v>
      </c>
      <c r="D29" s="182">
        <f>COUNTIFS('Données brutes'!F:F,"7m / 7m 2min",'Données brutes'!P:P,"Autres")</f>
        <v>0</v>
      </c>
      <c r="E29" s="182">
        <f>COUNTIFS('Données brutes'!F:F,"Ar GB",'Données brutes'!P:P,"Autres")</f>
        <v>0</v>
      </c>
      <c r="F29" s="182">
        <f>COUNTIFS('Données brutes'!F:F,"HC",'Données brutes'!P:P,"Autres")</f>
        <v>1</v>
      </c>
      <c r="G29" s="182">
        <f>COUNTIFS('Données brutes'!F:F,"PDB",'Données brutes'!P:P,"Autres")</f>
        <v>0</v>
      </c>
      <c r="H29" s="350"/>
      <c r="I29" s="360"/>
      <c r="J29" s="208">
        <f>COUNTIFS('Données brutes'!F:F,"Neut Contre",'Données brutes'!P:P,"Autres")</f>
        <v>0</v>
      </c>
      <c r="K29" s="209">
        <f t="shared" si="3"/>
        <v>0.66666666666666663</v>
      </c>
      <c r="L29" s="210">
        <f t="shared" si="1"/>
        <v>3</v>
      </c>
      <c r="M29" s="211">
        <f t="shared" si="2"/>
        <v>0.75</v>
      </c>
      <c r="N29" s="214"/>
    </row>
    <row r="30" spans="1:14" ht="15" thickBot="1" x14ac:dyDescent="0.4">
      <c r="A30" s="482"/>
      <c r="B30" s="362"/>
      <c r="C30" s="363"/>
      <c r="D30" s="364"/>
      <c r="E30" s="364"/>
      <c r="F30" s="364"/>
      <c r="G30" s="364"/>
      <c r="H30" s="365"/>
      <c r="I30" s="366"/>
      <c r="J30" s="367"/>
      <c r="K30" s="368"/>
      <c r="L30" s="369"/>
      <c r="M30" s="370"/>
      <c r="N30" s="197"/>
    </row>
    <row r="31" spans="1:14" x14ac:dyDescent="0.35">
      <c r="A31" s="486" t="s">
        <v>411</v>
      </c>
      <c r="B31" s="12"/>
      <c r="C31" s="12"/>
      <c r="D31" s="12"/>
      <c r="E31" s="12"/>
      <c r="F31" s="12"/>
      <c r="G31" s="12"/>
      <c r="H31" s="371"/>
      <c r="I31" s="12"/>
      <c r="J31" s="12"/>
      <c r="K31" s="12"/>
      <c r="L31" s="12"/>
      <c r="M31" s="12"/>
      <c r="N31" s="12"/>
    </row>
    <row r="32" spans="1:14" x14ac:dyDescent="0.35">
      <c r="A32" s="487"/>
      <c r="B32" s="12"/>
      <c r="C32" s="12"/>
      <c r="D32" s="12"/>
      <c r="E32" s="12"/>
      <c r="F32" s="12"/>
      <c r="G32" s="12"/>
      <c r="H32" s="371"/>
      <c r="I32" s="12"/>
      <c r="J32" s="12"/>
      <c r="K32" s="12"/>
      <c r="L32" s="12"/>
      <c r="M32" s="12"/>
      <c r="N32" s="12"/>
    </row>
    <row r="33" spans="1:14" x14ac:dyDescent="0.35">
      <c r="A33" s="487"/>
      <c r="B33" s="12"/>
      <c r="C33" s="12"/>
      <c r="D33" s="12"/>
      <c r="E33" s="12"/>
      <c r="F33" s="12"/>
      <c r="G33" s="12"/>
      <c r="H33" s="371"/>
      <c r="I33" s="12"/>
      <c r="J33" s="12"/>
      <c r="K33" s="12"/>
      <c r="L33" s="12"/>
      <c r="M33" s="12"/>
      <c r="N33" s="12"/>
    </row>
    <row r="34" spans="1:14" x14ac:dyDescent="0.35">
      <c r="A34" s="487"/>
      <c r="B34" s="12"/>
      <c r="C34" s="12"/>
      <c r="D34" s="12"/>
      <c r="E34" s="12"/>
      <c r="F34" s="12"/>
      <c r="G34" s="12"/>
      <c r="H34" s="371"/>
      <c r="I34" s="12"/>
      <c r="J34" s="12"/>
      <c r="K34" s="12"/>
      <c r="L34" s="12"/>
      <c r="M34" s="12"/>
      <c r="N34" s="12"/>
    </row>
  </sheetData>
  <mergeCells count="5">
    <mergeCell ref="A3:A21"/>
    <mergeCell ref="A22:A26"/>
    <mergeCell ref="A27:A30"/>
    <mergeCell ref="A1:N2"/>
    <mergeCell ref="A31:A34"/>
  </mergeCells>
  <conditionalFormatting sqref="K4:K18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2:K29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979A2-23F4-448A-BC2A-DE5DE4EFDD71}">
  <sheetPr codeName="Feuil14"/>
  <dimension ref="A1:AH100"/>
  <sheetViews>
    <sheetView topLeftCell="D103" zoomScale="70" zoomScaleNormal="70" workbookViewId="0">
      <selection activeCell="P81" sqref="P81"/>
    </sheetView>
  </sheetViews>
  <sheetFormatPr baseColWidth="10" defaultRowHeight="14.5" x14ac:dyDescent="0.35"/>
  <cols>
    <col min="2" max="2" width="26.26953125" customWidth="1"/>
    <col min="3" max="3" width="7.36328125" customWidth="1"/>
    <col min="4" max="4" width="6.6328125" customWidth="1"/>
    <col min="5" max="5" width="7.26953125" customWidth="1"/>
    <col min="6" max="6" width="6.7265625" customWidth="1"/>
    <col min="7" max="7" width="7.08984375" customWidth="1"/>
    <col min="9" max="9" width="22" customWidth="1"/>
    <col min="10" max="10" width="6.453125" customWidth="1"/>
    <col min="11" max="11" width="7.54296875" customWidth="1"/>
    <col min="12" max="12" width="8.81640625" customWidth="1"/>
    <col min="13" max="13" width="3.08984375" customWidth="1"/>
    <col min="14" max="14" width="5.6328125" customWidth="1"/>
    <col min="15" max="15" width="5.7265625" customWidth="1"/>
    <col min="21" max="21" width="6.6328125" customWidth="1"/>
    <col min="23" max="23" width="25" customWidth="1"/>
    <col min="24" max="24" width="7.90625" customWidth="1"/>
    <col min="25" max="25" width="6.36328125" customWidth="1"/>
    <col min="27" max="27" width="3" customWidth="1"/>
    <col min="28" max="28" width="6.453125" customWidth="1"/>
    <col min="29" max="29" width="7.81640625" customWidth="1"/>
    <col min="30" max="30" width="8.36328125" customWidth="1"/>
  </cols>
  <sheetData>
    <row r="1" spans="1:30" ht="51.5" customHeight="1" x14ac:dyDescent="0.35">
      <c r="A1" s="500" t="s">
        <v>332</v>
      </c>
      <c r="B1" s="501"/>
      <c r="C1" s="501"/>
      <c r="D1" s="501"/>
      <c r="E1" s="501"/>
      <c r="F1" s="501"/>
      <c r="G1" s="501"/>
      <c r="H1" s="501"/>
      <c r="I1" s="501"/>
      <c r="J1" s="501"/>
      <c r="K1" s="501"/>
      <c r="L1" s="501"/>
      <c r="M1" s="501"/>
      <c r="N1" s="501"/>
      <c r="O1" s="501"/>
      <c r="P1" s="501"/>
      <c r="Q1" s="501"/>
      <c r="R1" s="501"/>
      <c r="S1" s="501"/>
      <c r="T1" s="501"/>
      <c r="U1" s="501"/>
      <c r="V1" s="501"/>
      <c r="W1" s="501"/>
      <c r="X1" s="501"/>
      <c r="Y1" s="501"/>
      <c r="Z1" s="501"/>
      <c r="AA1" s="501"/>
      <c r="AB1" s="501"/>
      <c r="AC1" s="501"/>
      <c r="AD1" s="501"/>
    </row>
    <row r="2" spans="1:30" ht="21.5" thickBot="1" x14ac:dyDescent="0.4">
      <c r="A2" s="502" t="s">
        <v>363</v>
      </c>
      <c r="B2" s="502"/>
      <c r="C2" s="502"/>
      <c r="D2" s="502"/>
      <c r="E2" s="502"/>
      <c r="F2" s="503"/>
      <c r="G2" s="98"/>
      <c r="H2" s="504" t="s">
        <v>149</v>
      </c>
      <c r="I2" s="504"/>
      <c r="J2" s="505" t="s">
        <v>328</v>
      </c>
      <c r="K2" s="505"/>
      <c r="L2" s="505"/>
      <c r="M2" s="99"/>
      <c r="N2" s="505" t="s">
        <v>329</v>
      </c>
      <c r="O2" s="505"/>
      <c r="P2" s="505"/>
      <c r="Q2" s="240"/>
      <c r="R2" s="240"/>
      <c r="S2" s="240"/>
      <c r="T2" s="240"/>
      <c r="U2" s="98"/>
      <c r="V2" s="504" t="s">
        <v>330</v>
      </c>
      <c r="W2" s="504"/>
      <c r="X2" s="505" t="s">
        <v>328</v>
      </c>
      <c r="Y2" s="505"/>
      <c r="Z2" s="505"/>
      <c r="AA2" s="99"/>
      <c r="AB2" s="505" t="s">
        <v>329</v>
      </c>
      <c r="AC2" s="505"/>
      <c r="AD2" s="505"/>
    </row>
    <row r="3" spans="1:30" ht="30" customHeight="1" thickBot="1" x14ac:dyDescent="0.4">
      <c r="A3" s="488" t="s">
        <v>5</v>
      </c>
      <c r="B3" s="489"/>
      <c r="C3" s="110" t="s">
        <v>33</v>
      </c>
      <c r="D3" s="88" t="s">
        <v>20</v>
      </c>
      <c r="E3" s="88" t="s">
        <v>10</v>
      </c>
      <c r="F3" s="88" t="s">
        <v>280</v>
      </c>
      <c r="G3" s="111"/>
      <c r="H3" s="488" t="s">
        <v>5</v>
      </c>
      <c r="I3" s="489"/>
      <c r="J3" s="110" t="s">
        <v>20</v>
      </c>
      <c r="K3" s="88" t="s">
        <v>327</v>
      </c>
      <c r="L3" s="88" t="s">
        <v>148</v>
      </c>
      <c r="M3" s="100"/>
      <c r="N3" s="88" t="s">
        <v>11</v>
      </c>
      <c r="O3" s="88" t="s">
        <v>326</v>
      </c>
      <c r="P3" s="88" t="s">
        <v>147</v>
      </c>
      <c r="Q3" s="310"/>
      <c r="R3" s="320" t="s">
        <v>33</v>
      </c>
      <c r="S3" s="320" t="s">
        <v>326</v>
      </c>
      <c r="T3" s="321" t="s">
        <v>150</v>
      </c>
      <c r="U3" s="111"/>
      <c r="V3" s="488" t="s">
        <v>5</v>
      </c>
      <c r="W3" s="489"/>
      <c r="X3" s="110" t="s">
        <v>20</v>
      </c>
      <c r="Y3" s="88" t="s">
        <v>331</v>
      </c>
      <c r="Z3" s="88" t="s">
        <v>148</v>
      </c>
      <c r="AA3" s="100"/>
      <c r="AB3" s="88" t="s">
        <v>11</v>
      </c>
      <c r="AC3" s="88" t="s">
        <v>326</v>
      </c>
      <c r="AD3" s="89" t="s">
        <v>147</v>
      </c>
    </row>
    <row r="4" spans="1:30" ht="15" thickBot="1" x14ac:dyDescent="0.4">
      <c r="A4" s="407" t="s">
        <v>295</v>
      </c>
      <c r="B4" s="32" t="s">
        <v>15</v>
      </c>
      <c r="C4" s="152">
        <f>COUNTIFS('Données brutes'!F:F,"But",'Données brutes'!E:E,"JUSTICIA",'Données brutes'!G:G,"ALG")</f>
        <v>3</v>
      </c>
      <c r="D4" s="90">
        <f>COUNTIFS('Données brutes'!F:F,"Ar GB",'Données brutes'!E:E,"JUSTICIA",'Données brutes'!G:G,"ALG")</f>
        <v>2</v>
      </c>
      <c r="E4" s="90">
        <f>COUNTIFS('Données brutes'!F:F,"HC",'Données brutes'!E:E,"JUSTICIA",'Données brutes'!G:G,"ALG")</f>
        <v>0</v>
      </c>
      <c r="F4" s="90">
        <f>COUNTIFS('Données brutes'!F:F,"Arret NC",'Données brutes'!E:E,"JUSTICIA",'Données brutes'!G:G,"ALG")</f>
        <v>0</v>
      </c>
      <c r="G4" s="112"/>
      <c r="H4" s="407" t="s">
        <v>295</v>
      </c>
      <c r="I4" s="32" t="s">
        <v>15</v>
      </c>
      <c r="J4" s="115">
        <f>$D4</f>
        <v>2</v>
      </c>
      <c r="K4" s="102">
        <f>$C4+$D4</f>
        <v>5</v>
      </c>
      <c r="L4" s="103">
        <f>J4/K4</f>
        <v>0.4</v>
      </c>
      <c r="M4" s="101"/>
      <c r="N4" s="102">
        <f>$C4</f>
        <v>3</v>
      </c>
      <c r="O4" s="102">
        <f>$C4+$D4+$E4</f>
        <v>5</v>
      </c>
      <c r="P4" s="103">
        <f>N4/O4</f>
        <v>0.6</v>
      </c>
      <c r="Q4" s="404" t="s">
        <v>295</v>
      </c>
      <c r="R4" s="496" t="s">
        <v>394</v>
      </c>
      <c r="S4" s="496"/>
      <c r="T4" s="497"/>
      <c r="U4" s="112"/>
      <c r="V4" s="407" t="s">
        <v>295</v>
      </c>
      <c r="W4" s="32" t="s">
        <v>15</v>
      </c>
      <c r="X4" s="115">
        <f>$D4+$F4</f>
        <v>2</v>
      </c>
      <c r="Y4" s="102">
        <f>$C4+$D4+$F4</f>
        <v>5</v>
      </c>
      <c r="Z4" s="103">
        <f>X4/Y4</f>
        <v>0.4</v>
      </c>
      <c r="AA4" s="101"/>
      <c r="AB4" s="102">
        <f>$C4</f>
        <v>3</v>
      </c>
      <c r="AC4" s="102">
        <f>C4+D4+F4+E4</f>
        <v>5</v>
      </c>
      <c r="AD4" s="104">
        <f>AB4/AC4</f>
        <v>0.6</v>
      </c>
    </row>
    <row r="5" spans="1:30" ht="15" thickBot="1" x14ac:dyDescent="0.4">
      <c r="A5" s="404"/>
      <c r="B5" s="33" t="s">
        <v>282</v>
      </c>
      <c r="C5" s="153">
        <f>COUNTIFS('Données brutes'!F:F,"But",'Données brutes'!E:E,"JUSTICIA",'Données brutes'!G:G,"1 2")</f>
        <v>6</v>
      </c>
      <c r="D5" s="61">
        <f>COUNTIFS('Données brutes'!F:F,"Ar GB",'Données brutes'!E:E,"JUSTICIA",'Données brutes'!G:G,"1 2")</f>
        <v>0</v>
      </c>
      <c r="E5" s="61">
        <f>COUNTIFS('Données brutes'!F:F,"HC",'Données brutes'!E:E,"JUSTICIA",'Données brutes'!G:G,"1 2")</f>
        <v>1</v>
      </c>
      <c r="F5" s="90">
        <f>COUNTIFS('Données brutes'!F:F,"Arret NC",'Données brutes'!E:E,"JUSTICIA",'Données brutes'!G:G,"1 2")</f>
        <v>0</v>
      </c>
      <c r="G5" s="113"/>
      <c r="H5" s="404"/>
      <c r="I5" s="33" t="s">
        <v>282</v>
      </c>
      <c r="J5" s="31">
        <f t="shared" ref="J5:J24" si="0">$D5</f>
        <v>0</v>
      </c>
      <c r="K5" s="12">
        <f t="shared" ref="K5:K24" si="1">$C5+$D5</f>
        <v>6</v>
      </c>
      <c r="L5" s="27">
        <f t="shared" ref="L5:L24" si="2">J5/K5</f>
        <v>0</v>
      </c>
      <c r="M5" s="97"/>
      <c r="N5" s="12">
        <f t="shared" ref="N5:N24" si="3">$C5</f>
        <v>6</v>
      </c>
      <c r="O5" s="12">
        <f t="shared" ref="O5:O24" si="4">$C5+$D5+$E5</f>
        <v>7</v>
      </c>
      <c r="P5" s="27">
        <f t="shared" ref="P5:P24" si="5">N5/O5</f>
        <v>0.8571428571428571</v>
      </c>
      <c r="Q5" s="404"/>
      <c r="R5" s="319">
        <f>N4+N10</f>
        <v>6</v>
      </c>
      <c r="S5" s="319">
        <f>O4+O10</f>
        <v>10</v>
      </c>
      <c r="T5" s="322">
        <f>R5/S5</f>
        <v>0.6</v>
      </c>
      <c r="U5" s="113"/>
      <c r="V5" s="404"/>
      <c r="W5" s="33" t="s">
        <v>282</v>
      </c>
      <c r="X5" s="31">
        <f t="shared" ref="X5:X24" si="6">$D5+$F5</f>
        <v>0</v>
      </c>
      <c r="Y5" s="12">
        <f t="shared" ref="Y5:Y24" si="7">$C5+$D5+$F5</f>
        <v>6</v>
      </c>
      <c r="Z5" s="27">
        <f t="shared" ref="Z5:Z24" si="8">X5/Y5</f>
        <v>0</v>
      </c>
      <c r="AA5" s="97"/>
      <c r="AB5" s="12">
        <f t="shared" ref="AB5:AB24" si="9">$C5</f>
        <v>6</v>
      </c>
      <c r="AC5" s="12">
        <f t="shared" ref="AC5:AC24" si="10">C5+D5+F5+E5</f>
        <v>7</v>
      </c>
      <c r="AD5" s="34">
        <f t="shared" ref="AD5:AD24" si="11">AB5/AC5</f>
        <v>0.8571428571428571</v>
      </c>
    </row>
    <row r="6" spans="1:30" ht="15" thickBot="1" x14ac:dyDescent="0.4">
      <c r="A6" s="404"/>
      <c r="B6" s="33" t="s">
        <v>297</v>
      </c>
      <c r="C6" s="153">
        <f>COUNTIFS('Données brutes'!F:F,"But",'Données brutes'!E:E,"JUSTICIA",'Données brutes'!G:G,"2 3")</f>
        <v>3</v>
      </c>
      <c r="D6" s="61">
        <f>COUNTIFS('Données brutes'!F:F,"Ar GB",'Données brutes'!E:E,"JUSTICIA",'Données brutes'!G:G,"2 3")</f>
        <v>1</v>
      </c>
      <c r="E6" s="61">
        <f>COUNTIFS('Données brutes'!F:F,"HC",'Données brutes'!E:E,"JUSTICIA",'Données brutes'!G:G,"2 3")</f>
        <v>0</v>
      </c>
      <c r="F6" s="90">
        <f>COUNTIFS('Données brutes'!F:F,"Arret NC",'Données brutes'!E:E,"JUSTICIA",'Données brutes'!G:G,"2 3")</f>
        <v>0</v>
      </c>
      <c r="G6" s="113"/>
      <c r="H6" s="404"/>
      <c r="I6" s="33" t="s">
        <v>297</v>
      </c>
      <c r="J6" s="31">
        <f t="shared" si="0"/>
        <v>1</v>
      </c>
      <c r="K6" s="12">
        <f t="shared" si="1"/>
        <v>4</v>
      </c>
      <c r="L6" s="27">
        <f t="shared" si="2"/>
        <v>0.25</v>
      </c>
      <c r="M6" s="97"/>
      <c r="N6" s="12">
        <f t="shared" si="3"/>
        <v>3</v>
      </c>
      <c r="O6" s="12">
        <f t="shared" si="4"/>
        <v>4</v>
      </c>
      <c r="P6" s="27">
        <f t="shared" si="5"/>
        <v>0.75</v>
      </c>
      <c r="Q6" s="404"/>
      <c r="R6" s="498" t="s">
        <v>395</v>
      </c>
      <c r="S6" s="498"/>
      <c r="T6" s="499"/>
      <c r="U6" s="113"/>
      <c r="V6" s="404"/>
      <c r="W6" s="33" t="s">
        <v>297</v>
      </c>
      <c r="X6" s="31">
        <f t="shared" si="6"/>
        <v>1</v>
      </c>
      <c r="Y6" s="12">
        <f t="shared" si="7"/>
        <v>4</v>
      </c>
      <c r="Z6" s="27">
        <f t="shared" si="8"/>
        <v>0.25</v>
      </c>
      <c r="AA6" s="97"/>
      <c r="AB6" s="12">
        <f t="shared" si="9"/>
        <v>3</v>
      </c>
      <c r="AC6" s="12">
        <f t="shared" si="10"/>
        <v>4</v>
      </c>
      <c r="AD6" s="34">
        <f t="shared" si="11"/>
        <v>0.75</v>
      </c>
    </row>
    <row r="7" spans="1:30" ht="15" thickBot="1" x14ac:dyDescent="0.4">
      <c r="A7" s="404"/>
      <c r="B7" s="33" t="s">
        <v>296</v>
      </c>
      <c r="C7" s="153">
        <f>COUNTIFS('Données brutes'!F:F,"But",'Données brutes'!E:E,"JUSTICIA",'Données brutes'!G:G,"3 4")</f>
        <v>4</v>
      </c>
      <c r="D7" s="61">
        <f>COUNTIFS('Données brutes'!F:F,"Ar GB",'Données brutes'!E:E,"JUSTICIA",'Données brutes'!G:G,"3 4")</f>
        <v>0</v>
      </c>
      <c r="E7" s="61">
        <f>COUNTIFS('Données brutes'!F:F,"HC",'Données brutes'!E:E,"JUSTICIA",'Données brutes'!G:G,"3 4")</f>
        <v>0</v>
      </c>
      <c r="F7" s="90">
        <f>COUNTIFS('Données brutes'!F:F,"Arret NC",'Données brutes'!E:E,"JUSTICIA",'Données brutes'!G:G,"3 4")</f>
        <v>0</v>
      </c>
      <c r="G7" s="113"/>
      <c r="H7" s="404"/>
      <c r="I7" s="33" t="s">
        <v>296</v>
      </c>
      <c r="J7" s="31">
        <f t="shared" si="0"/>
        <v>0</v>
      </c>
      <c r="K7" s="12">
        <f t="shared" si="1"/>
        <v>4</v>
      </c>
      <c r="L7" s="27">
        <f t="shared" si="2"/>
        <v>0</v>
      </c>
      <c r="M7" s="97"/>
      <c r="N7" s="12">
        <f t="shared" si="3"/>
        <v>4</v>
      </c>
      <c r="O7" s="12">
        <f t="shared" si="4"/>
        <v>4</v>
      </c>
      <c r="P7" s="27">
        <f t="shared" si="5"/>
        <v>1</v>
      </c>
      <c r="Q7" s="404"/>
      <c r="R7" s="319">
        <f>N5+N9</f>
        <v>11</v>
      </c>
      <c r="S7" s="319">
        <f>O5+O9</f>
        <v>14</v>
      </c>
      <c r="T7" s="322">
        <f>R7/S7</f>
        <v>0.7857142857142857</v>
      </c>
      <c r="U7" s="113"/>
      <c r="V7" s="404"/>
      <c r="W7" s="33" t="s">
        <v>296</v>
      </c>
      <c r="X7" s="31">
        <f t="shared" si="6"/>
        <v>0</v>
      </c>
      <c r="Y7" s="12">
        <f t="shared" si="7"/>
        <v>4</v>
      </c>
      <c r="Z7" s="27">
        <f t="shared" si="8"/>
        <v>0</v>
      </c>
      <c r="AA7" s="97"/>
      <c r="AB7" s="12">
        <f t="shared" si="9"/>
        <v>4</v>
      </c>
      <c r="AC7" s="12">
        <f t="shared" si="10"/>
        <v>4</v>
      </c>
      <c r="AD7" s="34">
        <f t="shared" si="11"/>
        <v>1</v>
      </c>
    </row>
    <row r="8" spans="1:30" ht="15" thickBot="1" x14ac:dyDescent="0.4">
      <c r="A8" s="404"/>
      <c r="B8" s="33" t="s">
        <v>298</v>
      </c>
      <c r="C8" s="153">
        <f>COUNTIFS('Données brutes'!F:F,"But",'Données brutes'!E:E,"JUSTICIA",'Données brutes'!G:G,"4 5")</f>
        <v>5</v>
      </c>
      <c r="D8" s="61">
        <f>COUNTIFS('Données brutes'!F:F,"Ar GB",'Données brutes'!E:E,"JUSTICIA",'Données brutes'!G:G,"4 5")</f>
        <v>0</v>
      </c>
      <c r="E8" s="61">
        <f>COUNTIFS('Données brutes'!F:F,"HC",'Données brutes'!E:E,"JUSTICIA",'Données brutes'!G:G,"4 5")</f>
        <v>0</v>
      </c>
      <c r="F8" s="90">
        <f>COUNTIFS('Données brutes'!F:F,"Arret NC",'Données brutes'!E:E,"JUSTICIA",'Données brutes'!G:G,"4 5")</f>
        <v>0</v>
      </c>
      <c r="G8" s="113"/>
      <c r="H8" s="404"/>
      <c r="I8" s="33" t="s">
        <v>298</v>
      </c>
      <c r="J8" s="31">
        <f t="shared" si="0"/>
        <v>0</v>
      </c>
      <c r="K8" s="12">
        <f t="shared" si="1"/>
        <v>5</v>
      </c>
      <c r="L8" s="27">
        <f t="shared" si="2"/>
        <v>0</v>
      </c>
      <c r="M8" s="97"/>
      <c r="N8" s="12">
        <f t="shared" si="3"/>
        <v>5</v>
      </c>
      <c r="O8" s="12">
        <f t="shared" si="4"/>
        <v>5</v>
      </c>
      <c r="P8" s="27">
        <f t="shared" si="5"/>
        <v>1</v>
      </c>
      <c r="Q8" s="404"/>
      <c r="R8" s="498" t="s">
        <v>396</v>
      </c>
      <c r="S8" s="498"/>
      <c r="T8" s="499"/>
      <c r="U8" s="113"/>
      <c r="V8" s="404"/>
      <c r="W8" s="33" t="s">
        <v>298</v>
      </c>
      <c r="X8" s="31">
        <f t="shared" si="6"/>
        <v>0</v>
      </c>
      <c r="Y8" s="12">
        <f t="shared" si="7"/>
        <v>5</v>
      </c>
      <c r="Z8" s="27">
        <f t="shared" si="8"/>
        <v>0</v>
      </c>
      <c r="AA8" s="97"/>
      <c r="AB8" s="12">
        <f t="shared" si="9"/>
        <v>5</v>
      </c>
      <c r="AC8" s="12">
        <f t="shared" si="10"/>
        <v>5</v>
      </c>
      <c r="AD8" s="34">
        <f t="shared" si="11"/>
        <v>1</v>
      </c>
    </row>
    <row r="9" spans="1:30" ht="15" thickBot="1" x14ac:dyDescent="0.4">
      <c r="A9" s="404"/>
      <c r="B9" s="33" t="s">
        <v>283</v>
      </c>
      <c r="C9" s="153">
        <f>COUNTIFS('Données brutes'!F:F,"But",'Données brutes'!E:E,"JUSTICIA",'Données brutes'!G:G,"5 6")</f>
        <v>5</v>
      </c>
      <c r="D9" s="61">
        <f>COUNTIFS('Données brutes'!F:F,"Ar GB",'Données brutes'!E:E,"JUSTICIA",'Données brutes'!G:G,"5 6")</f>
        <v>2</v>
      </c>
      <c r="E9" s="61">
        <f>COUNTIFS('Données brutes'!F:F,"HC",'Données brutes'!E:E,"JUSTICIA",'Données brutes'!G:G,"5 6")</f>
        <v>0</v>
      </c>
      <c r="F9" s="90">
        <f>COUNTIFS('Données brutes'!F:F,"Arret NC",'Données brutes'!E:E,"JUSTICIA",'Données brutes'!G:G,"5 6")</f>
        <v>0</v>
      </c>
      <c r="G9" s="113"/>
      <c r="H9" s="404"/>
      <c r="I9" s="33" t="s">
        <v>283</v>
      </c>
      <c r="J9" s="31">
        <f t="shared" si="0"/>
        <v>2</v>
      </c>
      <c r="K9" s="12">
        <f t="shared" si="1"/>
        <v>7</v>
      </c>
      <c r="L9" s="27">
        <f t="shared" si="2"/>
        <v>0.2857142857142857</v>
      </c>
      <c r="M9" s="97"/>
      <c r="N9" s="12">
        <f t="shared" si="3"/>
        <v>5</v>
      </c>
      <c r="O9" s="12">
        <f t="shared" si="4"/>
        <v>7</v>
      </c>
      <c r="P9" s="27">
        <f t="shared" si="5"/>
        <v>0.7142857142857143</v>
      </c>
      <c r="Q9" s="404"/>
      <c r="R9" s="319">
        <f>N6+N7+N8</f>
        <v>12</v>
      </c>
      <c r="S9" s="319">
        <f>O6+O7+O8</f>
        <v>13</v>
      </c>
      <c r="T9" s="322">
        <f>R9/S9</f>
        <v>0.92307692307692313</v>
      </c>
      <c r="U9" s="113"/>
      <c r="V9" s="404"/>
      <c r="W9" s="33" t="s">
        <v>283</v>
      </c>
      <c r="X9" s="31">
        <f t="shared" si="6"/>
        <v>2</v>
      </c>
      <c r="Y9" s="12">
        <f t="shared" si="7"/>
        <v>7</v>
      </c>
      <c r="Z9" s="27">
        <f t="shared" si="8"/>
        <v>0.2857142857142857</v>
      </c>
      <c r="AA9" s="97"/>
      <c r="AB9" s="12">
        <f t="shared" si="9"/>
        <v>5</v>
      </c>
      <c r="AC9" s="12">
        <f t="shared" si="10"/>
        <v>7</v>
      </c>
      <c r="AD9" s="34">
        <f t="shared" si="11"/>
        <v>0.7142857142857143</v>
      </c>
    </row>
    <row r="10" spans="1:30" ht="15" thickBot="1" x14ac:dyDescent="0.4">
      <c r="A10" s="490"/>
      <c r="B10" s="73" t="s">
        <v>17</v>
      </c>
      <c r="C10" s="154">
        <f>COUNTIFS('Données brutes'!F:F,"But",'Données brutes'!E:E,"JUSTICIA",'Données brutes'!G:G,"ALD")</f>
        <v>3</v>
      </c>
      <c r="D10" s="155">
        <f>COUNTIFS('Données brutes'!F:F,"Ar GB",'Données brutes'!E:E,"JUSTICIA",'Données brutes'!G:G,"ALD")</f>
        <v>2</v>
      </c>
      <c r="E10" s="155">
        <f>COUNTIFS('Données brutes'!F:F,"HC",'Données brutes'!E:E,"JUSTICIA",'Données brutes'!G:G,"ALD")</f>
        <v>0</v>
      </c>
      <c r="F10" s="90">
        <f>COUNTIFS('Données brutes'!F:F,"Arret NC",'Données brutes'!E:E,"JUSTICIA",'Données brutes'!G:G,"ALD")</f>
        <v>0</v>
      </c>
      <c r="G10" s="114"/>
      <c r="H10" s="490"/>
      <c r="I10" s="73" t="s">
        <v>17</v>
      </c>
      <c r="J10" s="116">
        <f t="shared" si="0"/>
        <v>2</v>
      </c>
      <c r="K10" s="14">
        <f t="shared" si="1"/>
        <v>5</v>
      </c>
      <c r="L10" s="106">
        <f t="shared" si="2"/>
        <v>0.4</v>
      </c>
      <c r="M10" s="105"/>
      <c r="N10" s="14">
        <f t="shared" si="3"/>
        <v>3</v>
      </c>
      <c r="O10" s="14">
        <f t="shared" si="4"/>
        <v>5</v>
      </c>
      <c r="P10" s="106">
        <f t="shared" si="5"/>
        <v>0.6</v>
      </c>
      <c r="Q10" s="404"/>
      <c r="R10" s="325"/>
      <c r="S10" s="325"/>
      <c r="T10" s="326"/>
      <c r="U10" s="114"/>
      <c r="V10" s="490"/>
      <c r="W10" s="73" t="s">
        <v>17</v>
      </c>
      <c r="X10" s="116">
        <f t="shared" si="6"/>
        <v>2</v>
      </c>
      <c r="Y10" s="14">
        <f t="shared" si="7"/>
        <v>5</v>
      </c>
      <c r="Z10" s="106">
        <f t="shared" si="8"/>
        <v>0.4</v>
      </c>
      <c r="AA10" s="105"/>
      <c r="AB10" s="14">
        <f t="shared" si="9"/>
        <v>3</v>
      </c>
      <c r="AC10" s="14">
        <f t="shared" si="10"/>
        <v>5</v>
      </c>
      <c r="AD10" s="37">
        <f t="shared" si="11"/>
        <v>0.6</v>
      </c>
    </row>
    <row r="11" spans="1:30" ht="15" customHeight="1" thickBot="1" x14ac:dyDescent="0.4">
      <c r="A11" s="491" t="s">
        <v>299</v>
      </c>
      <c r="B11" s="32" t="s">
        <v>301</v>
      </c>
      <c r="C11" s="152">
        <f>COUNTIFS('Données brutes'!F:F,"But",'Données brutes'!E:E,"JUSTICIA",'Données brutes'!G:G,"Central 7m 9m appui")</f>
        <v>0</v>
      </c>
      <c r="D11" s="90">
        <f>COUNTIFS('Données brutes'!F:F,"Ar GB",'Données brutes'!E:E,"JUSTICIA",'Données brutes'!G:G,"Central 7m 9m appui")</f>
        <v>1</v>
      </c>
      <c r="E11" s="90">
        <f>COUNTIFS('Données brutes'!F:F,"HC",'Données brutes'!E:E,"JUSTICIA",'Données brutes'!G:G,"Central 7m 9m appui")</f>
        <v>1</v>
      </c>
      <c r="F11" s="90">
        <f>COUNTIFS('Données brutes'!F:F,"Arret NC",'Données brutes'!E:E,"JUSTICIA",'Données brutes'!G:G,"ALD")</f>
        <v>0</v>
      </c>
      <c r="G11" s="112"/>
      <c r="H11" s="491" t="s">
        <v>299</v>
      </c>
      <c r="I11" s="32" t="s">
        <v>301</v>
      </c>
      <c r="J11" s="115">
        <f t="shared" si="0"/>
        <v>1</v>
      </c>
      <c r="K11" s="102">
        <f t="shared" si="1"/>
        <v>1</v>
      </c>
      <c r="L11" s="103">
        <f t="shared" si="2"/>
        <v>1</v>
      </c>
      <c r="M11" s="101"/>
      <c r="N11" s="102">
        <f t="shared" si="3"/>
        <v>0</v>
      </c>
      <c r="O11" s="102">
        <f t="shared" si="4"/>
        <v>2</v>
      </c>
      <c r="P11" s="103">
        <f t="shared" si="5"/>
        <v>0</v>
      </c>
      <c r="Q11" s="495" t="s">
        <v>299</v>
      </c>
      <c r="R11" s="319">
        <f>SUM(N11:N13)</f>
        <v>5</v>
      </c>
      <c r="S11" s="319">
        <f>SUM(O11:O13)</f>
        <v>7</v>
      </c>
      <c r="T11" s="322">
        <f>R11/S11</f>
        <v>0.7142857142857143</v>
      </c>
      <c r="U11" s="112"/>
      <c r="V11" s="491" t="s">
        <v>299</v>
      </c>
      <c r="W11" s="32" t="s">
        <v>301</v>
      </c>
      <c r="X11" s="115">
        <f t="shared" si="6"/>
        <v>1</v>
      </c>
      <c r="Y11" s="102">
        <f t="shared" si="7"/>
        <v>1</v>
      </c>
      <c r="Z11" s="103">
        <f t="shared" si="8"/>
        <v>1</v>
      </c>
      <c r="AA11" s="101"/>
      <c r="AB11" s="102">
        <f t="shared" si="9"/>
        <v>0</v>
      </c>
      <c r="AC11" s="102">
        <f t="shared" si="10"/>
        <v>2</v>
      </c>
      <c r="AD11" s="104">
        <f t="shared" si="11"/>
        <v>0</v>
      </c>
    </row>
    <row r="12" spans="1:30" ht="15" thickBot="1" x14ac:dyDescent="0.4">
      <c r="A12" s="495"/>
      <c r="B12" s="33" t="s">
        <v>302</v>
      </c>
      <c r="C12" s="153">
        <f>COUNTIFS('Données brutes'!F:F,"But",'Données brutes'!E:E,"JUSTICIA",'Données brutes'!G:G,"7m 9m Ext G appui")</f>
        <v>3</v>
      </c>
      <c r="D12" s="61">
        <f>COUNTIFS('Données brutes'!F:F,"Ar GB",'Données brutes'!E:E,"JUSTICIA",'Données brutes'!G:G,"7m 9m Ext G appui")</f>
        <v>0</v>
      </c>
      <c r="E12" s="61">
        <f>COUNTIFS('Données brutes'!F:F,"HC",'Données brutes'!E:E,"JUSTICIA",'Données brutes'!G:G,"7m 9m Ext G appui")</f>
        <v>0</v>
      </c>
      <c r="F12" s="90">
        <f>COUNTIFS('Données brutes'!F:F,"Arret NC",'Données brutes'!E:E,"JUSTICIA",'Données brutes'!G:G,"7m 9m Ext G appui")</f>
        <v>0</v>
      </c>
      <c r="G12" s="113"/>
      <c r="H12" s="495"/>
      <c r="I12" s="33" t="s">
        <v>302</v>
      </c>
      <c r="J12" s="31">
        <f t="shared" si="0"/>
        <v>0</v>
      </c>
      <c r="K12" s="12">
        <f t="shared" si="1"/>
        <v>3</v>
      </c>
      <c r="L12" s="27">
        <f t="shared" si="2"/>
        <v>0</v>
      </c>
      <c r="M12" s="97"/>
      <c r="N12" s="12">
        <f t="shared" si="3"/>
        <v>3</v>
      </c>
      <c r="O12" s="12">
        <f t="shared" si="4"/>
        <v>3</v>
      </c>
      <c r="P12" s="27">
        <f t="shared" si="5"/>
        <v>1</v>
      </c>
      <c r="Q12" s="495"/>
      <c r="R12" s="325"/>
      <c r="S12" s="325"/>
      <c r="T12" s="326"/>
      <c r="U12" s="113"/>
      <c r="V12" s="495"/>
      <c r="W12" s="33" t="s">
        <v>302</v>
      </c>
      <c r="X12" s="31">
        <f t="shared" si="6"/>
        <v>0</v>
      </c>
      <c r="Y12" s="12">
        <f t="shared" si="7"/>
        <v>3</v>
      </c>
      <c r="Z12" s="27">
        <f t="shared" si="8"/>
        <v>0</v>
      </c>
      <c r="AA12" s="97"/>
      <c r="AB12" s="12">
        <f t="shared" si="9"/>
        <v>3</v>
      </c>
      <c r="AC12" s="12">
        <f t="shared" si="10"/>
        <v>3</v>
      </c>
      <c r="AD12" s="34">
        <f t="shared" si="11"/>
        <v>1</v>
      </c>
    </row>
    <row r="13" spans="1:30" ht="15" thickBot="1" x14ac:dyDescent="0.4">
      <c r="A13" s="492"/>
      <c r="B13" s="73" t="s">
        <v>303</v>
      </c>
      <c r="C13" s="154">
        <f>COUNTIFS('Données brutes'!F:F,"But",'Données brutes'!E:E,"JUSTICIA",'Données brutes'!G:G,"7m 9m Ext D appui")</f>
        <v>2</v>
      </c>
      <c r="D13" s="155">
        <f>COUNTIFS('Données brutes'!F:F,"Ar GB",'Données brutes'!E:E,"JUSTICIA",'Données brutes'!G:G,"7m 9m Ext D appui")</f>
        <v>0</v>
      </c>
      <c r="E13" s="155">
        <f>COUNTIFS('Données brutes'!F:F,"HC",'Données brutes'!E:E,"JUSTICIA",'Données brutes'!G:G,"7m 9m Ext D appui")</f>
        <v>0</v>
      </c>
      <c r="F13" s="90">
        <f>COUNTIFS('Données brutes'!F:F,"Arret NC",'Données brutes'!E:E,"JUSTICIA",'Données brutes'!G:G,"ALD")</f>
        <v>0</v>
      </c>
      <c r="G13" s="114"/>
      <c r="H13" s="492"/>
      <c r="I13" s="73" t="s">
        <v>303</v>
      </c>
      <c r="J13" s="116">
        <f t="shared" si="0"/>
        <v>0</v>
      </c>
      <c r="K13" s="14">
        <f t="shared" si="1"/>
        <v>2</v>
      </c>
      <c r="L13" s="106">
        <f t="shared" si="2"/>
        <v>0</v>
      </c>
      <c r="M13" s="105"/>
      <c r="N13" s="14">
        <f t="shared" si="3"/>
        <v>2</v>
      </c>
      <c r="O13" s="14">
        <f t="shared" si="4"/>
        <v>2</v>
      </c>
      <c r="P13" s="106">
        <f t="shared" si="5"/>
        <v>1</v>
      </c>
      <c r="Q13" s="495"/>
      <c r="R13" s="325"/>
      <c r="S13" s="325"/>
      <c r="T13" s="326"/>
      <c r="U13" s="114"/>
      <c r="V13" s="492"/>
      <c r="W13" s="73" t="s">
        <v>303</v>
      </c>
      <c r="X13" s="116">
        <f t="shared" si="6"/>
        <v>0</v>
      </c>
      <c r="Y13" s="14">
        <f t="shared" si="7"/>
        <v>2</v>
      </c>
      <c r="Z13" s="106">
        <f t="shared" si="8"/>
        <v>0</v>
      </c>
      <c r="AA13" s="105"/>
      <c r="AB13" s="14">
        <f t="shared" si="9"/>
        <v>2</v>
      </c>
      <c r="AC13" s="14">
        <f t="shared" si="10"/>
        <v>2</v>
      </c>
      <c r="AD13" s="37">
        <f t="shared" si="11"/>
        <v>1</v>
      </c>
    </row>
    <row r="14" spans="1:30" ht="15" customHeight="1" thickBot="1" x14ac:dyDescent="0.4">
      <c r="A14" s="491" t="s">
        <v>300</v>
      </c>
      <c r="B14" s="32" t="s">
        <v>304</v>
      </c>
      <c r="C14" s="152">
        <f>COUNTIFS('Données brutes'!F:F,"But",'Données brutes'!E:E,"JUSTICIA",'Données brutes'!G:G,"7m 9m central suspension")</f>
        <v>6</v>
      </c>
      <c r="D14" s="90">
        <f>COUNTIFS('Données brutes'!F:F,"Ar GB",'Données brutes'!E:E,"JUSTICIA",'Données brutes'!G:G,"7m 9m central suspension")</f>
        <v>0</v>
      </c>
      <c r="E14" s="90">
        <f>COUNTIFS('Données brutes'!F:F,"HC",'Données brutes'!E:E,"JUSTICIA",'Données brutes'!G:G,"7m 9m central suspension")</f>
        <v>0</v>
      </c>
      <c r="F14" s="90">
        <f>COUNTIFS('Données brutes'!F:F,"Arret NC",'Données brutes'!E:E,"JUSTICIA",'Données brutes'!G:G,"ALD")</f>
        <v>0</v>
      </c>
      <c r="G14" s="112"/>
      <c r="H14" s="491" t="s">
        <v>300</v>
      </c>
      <c r="I14" s="32" t="s">
        <v>304</v>
      </c>
      <c r="J14" s="115">
        <f t="shared" si="0"/>
        <v>0</v>
      </c>
      <c r="K14" s="102">
        <f t="shared" si="1"/>
        <v>6</v>
      </c>
      <c r="L14" s="103">
        <f t="shared" si="2"/>
        <v>0</v>
      </c>
      <c r="M14" s="101"/>
      <c r="N14" s="102">
        <f t="shared" si="3"/>
        <v>6</v>
      </c>
      <c r="O14" s="102">
        <f t="shared" si="4"/>
        <v>6</v>
      </c>
      <c r="P14" s="103">
        <f t="shared" si="5"/>
        <v>1</v>
      </c>
      <c r="Q14" s="495" t="s">
        <v>300</v>
      </c>
      <c r="R14" s="319">
        <f>SUM(N14:N16)</f>
        <v>8</v>
      </c>
      <c r="S14" s="319">
        <f>SUM(O14:O16)</f>
        <v>14</v>
      </c>
      <c r="T14" s="322">
        <f>R14/S14</f>
        <v>0.5714285714285714</v>
      </c>
      <c r="U14" s="112"/>
      <c r="V14" s="491" t="s">
        <v>300</v>
      </c>
      <c r="W14" s="32" t="s">
        <v>304</v>
      </c>
      <c r="X14" s="115">
        <f t="shared" si="6"/>
        <v>0</v>
      </c>
      <c r="Y14" s="102">
        <f t="shared" si="7"/>
        <v>6</v>
      </c>
      <c r="Z14" s="103">
        <f t="shared" si="8"/>
        <v>0</v>
      </c>
      <c r="AA14" s="101"/>
      <c r="AB14" s="102">
        <f t="shared" si="9"/>
        <v>6</v>
      </c>
      <c r="AC14" s="102">
        <f t="shared" si="10"/>
        <v>6</v>
      </c>
      <c r="AD14" s="104">
        <f t="shared" si="11"/>
        <v>1</v>
      </c>
    </row>
    <row r="15" spans="1:30" ht="15" thickBot="1" x14ac:dyDescent="0.4">
      <c r="A15" s="495"/>
      <c r="B15" s="33" t="s">
        <v>305</v>
      </c>
      <c r="C15" s="153">
        <f>COUNTIFS('Données brutes'!F:F,"But",'Données brutes'!E:E,"JUSTICIA",'Données brutes'!G:G,"7m 9m Ext G suspension")</f>
        <v>2</v>
      </c>
      <c r="D15" s="61">
        <f>COUNTIFS('Données brutes'!F:F,"Ar GB",'Données brutes'!E:E,"JUSTICIA",'Données brutes'!G:G,"7m 9m Ext G suspension")</f>
        <v>2</v>
      </c>
      <c r="E15" s="61">
        <f>COUNTIFS('Données brutes'!F:F,"HC",'Données brutes'!E:E,"JUSTICIA",'Données brutes'!G:G,"7m 9m Ext G suspension")</f>
        <v>3</v>
      </c>
      <c r="F15" s="90">
        <f>COUNTIFS('Données brutes'!F:F,"Arret NC",'Données brutes'!E:E,"JUSTICIA",'Données brutes'!G:G,"ALD")</f>
        <v>0</v>
      </c>
      <c r="G15" s="113"/>
      <c r="H15" s="495"/>
      <c r="I15" s="33" t="s">
        <v>305</v>
      </c>
      <c r="J15" s="31">
        <f t="shared" si="0"/>
        <v>2</v>
      </c>
      <c r="K15" s="12">
        <f t="shared" si="1"/>
        <v>4</v>
      </c>
      <c r="L15" s="27">
        <f t="shared" si="2"/>
        <v>0.5</v>
      </c>
      <c r="M15" s="97"/>
      <c r="N15" s="12">
        <f t="shared" si="3"/>
        <v>2</v>
      </c>
      <c r="O15" s="12">
        <f t="shared" si="4"/>
        <v>7</v>
      </c>
      <c r="P15" s="27">
        <f t="shared" si="5"/>
        <v>0.2857142857142857</v>
      </c>
      <c r="Q15" s="495"/>
      <c r="R15" s="325"/>
      <c r="S15" s="325"/>
      <c r="T15" s="326"/>
      <c r="U15" s="113"/>
      <c r="V15" s="495"/>
      <c r="W15" s="33" t="s">
        <v>305</v>
      </c>
      <c r="X15" s="31">
        <f t="shared" si="6"/>
        <v>2</v>
      </c>
      <c r="Y15" s="12">
        <f t="shared" si="7"/>
        <v>4</v>
      </c>
      <c r="Z15" s="27">
        <f t="shared" si="8"/>
        <v>0.5</v>
      </c>
      <c r="AA15" s="97"/>
      <c r="AB15" s="12">
        <f t="shared" si="9"/>
        <v>2</v>
      </c>
      <c r="AC15" s="12">
        <f t="shared" si="10"/>
        <v>7</v>
      </c>
      <c r="AD15" s="34">
        <f t="shared" si="11"/>
        <v>0.2857142857142857</v>
      </c>
    </row>
    <row r="16" spans="1:30" ht="15" thickBot="1" x14ac:dyDescent="0.4">
      <c r="A16" s="492"/>
      <c r="B16" s="73" t="s">
        <v>306</v>
      </c>
      <c r="C16" s="153">
        <f>COUNTIFS('Données brutes'!F:F,"But",'Données brutes'!E:E,"JUSTICIA",'Données brutes'!G:G,"7m 9m Ext D suspension")</f>
        <v>0</v>
      </c>
      <c r="D16" s="61">
        <f>COUNTIFS('Données brutes'!F:F,"Ar GB",'Données brutes'!E:E,"JUSTICIA",'Données brutes'!G:G,"7m 9m Ext D suspension")</f>
        <v>1</v>
      </c>
      <c r="E16" s="61">
        <f>COUNTIFS('Données brutes'!F:F,"HC",'Données brutes'!E:E,"JUSTICIA",'Données brutes'!G:G,"7m 9m Ext D suspension")</f>
        <v>0</v>
      </c>
      <c r="F16" s="90">
        <f>COUNTIFS('Données brutes'!F:F,"Arret NC",'Données brutes'!E:E,"JUSTICIA",'Données brutes'!G:G,"7m 9m Ext D suspension")</f>
        <v>1</v>
      </c>
      <c r="G16" s="114"/>
      <c r="H16" s="492"/>
      <c r="I16" s="73" t="s">
        <v>306</v>
      </c>
      <c r="J16" s="116">
        <f t="shared" si="0"/>
        <v>1</v>
      </c>
      <c r="K16" s="14">
        <f t="shared" si="1"/>
        <v>1</v>
      </c>
      <c r="L16" s="106">
        <f t="shared" si="2"/>
        <v>1</v>
      </c>
      <c r="M16" s="105"/>
      <c r="N16" s="14">
        <f t="shared" si="3"/>
        <v>0</v>
      </c>
      <c r="O16" s="14">
        <f t="shared" si="4"/>
        <v>1</v>
      </c>
      <c r="P16" s="106">
        <f t="shared" si="5"/>
        <v>0</v>
      </c>
      <c r="Q16" s="495"/>
      <c r="R16" s="325"/>
      <c r="S16" s="325"/>
      <c r="T16" s="326"/>
      <c r="U16" s="114"/>
      <c r="V16" s="492"/>
      <c r="W16" s="73" t="s">
        <v>306</v>
      </c>
      <c r="X16" s="116">
        <f t="shared" si="6"/>
        <v>2</v>
      </c>
      <c r="Y16" s="14">
        <f t="shared" si="7"/>
        <v>2</v>
      </c>
      <c r="Z16" s="106">
        <f t="shared" si="8"/>
        <v>1</v>
      </c>
      <c r="AA16" s="105"/>
      <c r="AB16" s="14">
        <f t="shared" si="9"/>
        <v>0</v>
      </c>
      <c r="AC16" s="14">
        <f t="shared" si="10"/>
        <v>2</v>
      </c>
      <c r="AD16" s="37">
        <f t="shared" si="11"/>
        <v>0</v>
      </c>
    </row>
    <row r="17" spans="1:30" ht="15" thickBot="1" x14ac:dyDescent="0.4">
      <c r="A17" s="407" t="s">
        <v>146</v>
      </c>
      <c r="B17" s="32" t="s">
        <v>307</v>
      </c>
      <c r="C17" s="152">
        <f>COUNTIFS('Données brutes'!F:F,"But",'Données brutes'!E:E,"JUSTICIA",'Données brutes'!G:G,"9m G")</f>
        <v>3</v>
      </c>
      <c r="D17" s="90">
        <f>COUNTIFS('Données brutes'!F:F,"Ar GB",'Données brutes'!E:E,"JUSTICIA",'Données brutes'!G:G,"9m G")</f>
        <v>0</v>
      </c>
      <c r="E17" s="90">
        <f>COUNTIFS('Données brutes'!F:F,"HC",'Données brutes'!E:E,"JUSTICIA",'Données brutes'!G:G,"9m G")</f>
        <v>0</v>
      </c>
      <c r="F17" s="90">
        <f>COUNTIFS('Données brutes'!F:F,"Arret NC",'Données brutes'!E:E,"JUSTICIA",'Données brutes'!G:G,"9m G")</f>
        <v>0</v>
      </c>
      <c r="G17" s="112"/>
      <c r="H17" s="407" t="s">
        <v>146</v>
      </c>
      <c r="I17" s="32" t="s">
        <v>307</v>
      </c>
      <c r="J17" s="115">
        <f t="shared" si="0"/>
        <v>0</v>
      </c>
      <c r="K17" s="102">
        <f t="shared" si="1"/>
        <v>3</v>
      </c>
      <c r="L17" s="103">
        <f t="shared" si="2"/>
        <v>0</v>
      </c>
      <c r="M17" s="101"/>
      <c r="N17" s="102">
        <f t="shared" si="3"/>
        <v>3</v>
      </c>
      <c r="O17" s="102">
        <f t="shared" si="4"/>
        <v>3</v>
      </c>
      <c r="P17" s="103">
        <f t="shared" si="5"/>
        <v>1</v>
      </c>
      <c r="Q17" s="404" t="s">
        <v>146</v>
      </c>
      <c r="R17" s="319">
        <f>SUM(N17:N19)</f>
        <v>10</v>
      </c>
      <c r="S17" s="319">
        <f>SUM(O17:O19)</f>
        <v>25</v>
      </c>
      <c r="T17" s="322">
        <f>R17/S17</f>
        <v>0.4</v>
      </c>
      <c r="U17" s="112"/>
      <c r="V17" s="407" t="s">
        <v>146</v>
      </c>
      <c r="W17" s="32" t="s">
        <v>307</v>
      </c>
      <c r="X17" s="115">
        <f t="shared" si="6"/>
        <v>0</v>
      </c>
      <c r="Y17" s="102">
        <f t="shared" si="7"/>
        <v>3</v>
      </c>
      <c r="Z17" s="103">
        <f t="shared" si="8"/>
        <v>0</v>
      </c>
      <c r="AA17" s="101"/>
      <c r="AB17" s="102">
        <f t="shared" si="9"/>
        <v>3</v>
      </c>
      <c r="AC17" s="102">
        <f t="shared" si="10"/>
        <v>3</v>
      </c>
      <c r="AD17" s="104">
        <f t="shared" si="11"/>
        <v>1</v>
      </c>
    </row>
    <row r="18" spans="1:30" ht="15" thickBot="1" x14ac:dyDescent="0.4">
      <c r="A18" s="404"/>
      <c r="B18" s="33" t="s">
        <v>308</v>
      </c>
      <c r="C18" s="152">
        <f>COUNTIFS('Données brutes'!F:F,"But",'Données brutes'!E:E,"JUSTICIA",'Données brutes'!G:G,"9m +")</f>
        <v>7</v>
      </c>
      <c r="D18" s="90">
        <f>COUNTIFS('Données brutes'!F:F,"Ar GB",'Données brutes'!E:E,"JUSTICIA",'Données brutes'!G:G,"9m +")</f>
        <v>8</v>
      </c>
      <c r="E18" s="90">
        <f>COUNTIFS('Données brutes'!F:F,"HC",'Données brutes'!E:E,"JUSTICIA",'Données brutes'!G:G,"9m +")</f>
        <v>4</v>
      </c>
      <c r="F18" s="90">
        <f>COUNTIFS('Données brutes'!F:F,"Arret NC",'Données brutes'!E:E,"JUSTICIA",'Données brutes'!G:G,"9m +")</f>
        <v>5</v>
      </c>
      <c r="G18" s="113"/>
      <c r="H18" s="404"/>
      <c r="I18" s="33" t="s">
        <v>308</v>
      </c>
      <c r="J18" s="31">
        <f t="shared" si="0"/>
        <v>8</v>
      </c>
      <c r="K18" s="12">
        <f t="shared" si="1"/>
        <v>15</v>
      </c>
      <c r="L18" s="27">
        <f t="shared" si="2"/>
        <v>0.53333333333333333</v>
      </c>
      <c r="M18" s="97"/>
      <c r="N18" s="12">
        <f t="shared" si="3"/>
        <v>7</v>
      </c>
      <c r="O18" s="12">
        <f t="shared" si="4"/>
        <v>19</v>
      </c>
      <c r="P18" s="27">
        <f t="shared" si="5"/>
        <v>0.36842105263157893</v>
      </c>
      <c r="Q18" s="404"/>
      <c r="R18" s="325"/>
      <c r="S18" s="325"/>
      <c r="T18" s="326"/>
      <c r="U18" s="113"/>
      <c r="V18" s="404"/>
      <c r="W18" s="33" t="s">
        <v>308</v>
      </c>
      <c r="X18" s="31">
        <f t="shared" si="6"/>
        <v>13</v>
      </c>
      <c r="Y18" s="12">
        <f t="shared" si="7"/>
        <v>20</v>
      </c>
      <c r="Z18" s="27">
        <f t="shared" si="8"/>
        <v>0.65</v>
      </c>
      <c r="AA18" s="97"/>
      <c r="AB18" s="12">
        <f t="shared" si="9"/>
        <v>7</v>
      </c>
      <c r="AC18" s="12">
        <f t="shared" si="10"/>
        <v>24</v>
      </c>
      <c r="AD18" s="34">
        <f t="shared" si="11"/>
        <v>0.29166666666666669</v>
      </c>
    </row>
    <row r="19" spans="1:30" ht="15" thickBot="1" x14ac:dyDescent="0.4">
      <c r="A19" s="490"/>
      <c r="B19" s="73" t="s">
        <v>309</v>
      </c>
      <c r="C19" s="152">
        <f>COUNTIFS('Données brutes'!F:F,"But",'Données brutes'!E:E,"JUSTICIA",'Données brutes'!G:G,"9m D")</f>
        <v>0</v>
      </c>
      <c r="D19" s="90">
        <f>COUNTIFS('Données brutes'!F:F,"Ar GB",'Données brutes'!E:E,"JUSTICIA",'Données brutes'!G:G,"9m D")</f>
        <v>1</v>
      </c>
      <c r="E19" s="90">
        <f>COUNTIFS('Données brutes'!F:F,"HC",'Données brutes'!E:E,"JUSTICIA",'Données brutes'!G:G,"9m D")</f>
        <v>2</v>
      </c>
      <c r="F19" s="90">
        <f>COUNTIFS('Données brutes'!F:F,"Arret NC",'Données brutes'!E:E,"JUSTICIA",'Données brutes'!G:G,"9m D")</f>
        <v>0</v>
      </c>
      <c r="G19" s="114"/>
      <c r="H19" s="490"/>
      <c r="I19" s="73" t="s">
        <v>309</v>
      </c>
      <c r="J19" s="116">
        <f t="shared" si="0"/>
        <v>1</v>
      </c>
      <c r="K19" s="14">
        <f t="shared" si="1"/>
        <v>1</v>
      </c>
      <c r="L19" s="106">
        <f t="shared" si="2"/>
        <v>1</v>
      </c>
      <c r="M19" s="105"/>
      <c r="N19" s="14">
        <f t="shared" si="3"/>
        <v>0</v>
      </c>
      <c r="O19" s="14">
        <f t="shared" si="4"/>
        <v>3</v>
      </c>
      <c r="P19" s="106">
        <f t="shared" si="5"/>
        <v>0</v>
      </c>
      <c r="Q19" s="404"/>
      <c r="R19" s="325"/>
      <c r="S19" s="325"/>
      <c r="T19" s="326"/>
      <c r="U19" s="114"/>
      <c r="V19" s="490"/>
      <c r="W19" s="73" t="s">
        <v>309</v>
      </c>
      <c r="X19" s="116">
        <f t="shared" si="6"/>
        <v>1</v>
      </c>
      <c r="Y19" s="14">
        <f t="shared" si="7"/>
        <v>1</v>
      </c>
      <c r="Z19" s="106">
        <f t="shared" si="8"/>
        <v>1</v>
      </c>
      <c r="AA19" s="105"/>
      <c r="AB19" s="14">
        <f t="shared" si="9"/>
        <v>0</v>
      </c>
      <c r="AC19" s="14">
        <f t="shared" si="10"/>
        <v>3</v>
      </c>
      <c r="AD19" s="37">
        <f t="shared" si="11"/>
        <v>0</v>
      </c>
    </row>
    <row r="20" spans="1:30" ht="15" customHeight="1" thickBot="1" x14ac:dyDescent="0.4">
      <c r="A20" s="491" t="s">
        <v>310</v>
      </c>
      <c r="B20" s="32" t="s">
        <v>22</v>
      </c>
      <c r="C20" s="152">
        <f>COUNTIFS('Données brutes'!F:F,"But",'Données brutes'!E:E,"JUSTICIA",'Données brutes'!G:G,"But vide")</f>
        <v>1</v>
      </c>
      <c r="D20" s="90">
        <f>COUNTIFS('Données brutes'!F:F,"Ar GB",'Données brutes'!E:E,"JUSTICIA",'Données brutes'!G:G,"But vide")</f>
        <v>0</v>
      </c>
      <c r="E20" s="90">
        <f>COUNTIFS('Données brutes'!F:F,"HC",'Données brutes'!E:E,"JUSTICIA",'Données brutes'!G:G,"But vide")</f>
        <v>0</v>
      </c>
      <c r="F20" s="90">
        <f>COUNTIFS('Données brutes'!F:F,"Arret NC",'Données brutes'!E:E,"JUSTICIA",'Données brutes'!G:G,"But vide")</f>
        <v>0</v>
      </c>
      <c r="G20" s="112"/>
      <c r="H20" s="491" t="s">
        <v>310</v>
      </c>
      <c r="I20" s="32" t="s">
        <v>22</v>
      </c>
      <c r="J20" s="115">
        <f t="shared" si="0"/>
        <v>0</v>
      </c>
      <c r="K20" s="102">
        <f t="shared" si="1"/>
        <v>1</v>
      </c>
      <c r="L20" s="103">
        <f t="shared" si="2"/>
        <v>0</v>
      </c>
      <c r="M20" s="101"/>
      <c r="N20" s="102">
        <f t="shared" si="3"/>
        <v>1</v>
      </c>
      <c r="O20" s="102">
        <f t="shared" si="4"/>
        <v>1</v>
      </c>
      <c r="P20" s="103">
        <f t="shared" si="5"/>
        <v>1</v>
      </c>
      <c r="Q20" s="495" t="s">
        <v>310</v>
      </c>
      <c r="R20" s="319">
        <f>N20+N21</f>
        <v>11</v>
      </c>
      <c r="S20" s="319">
        <f>O20+O21</f>
        <v>12</v>
      </c>
      <c r="T20" s="322">
        <f>R20/S20</f>
        <v>0.91666666666666663</v>
      </c>
      <c r="U20" s="112"/>
      <c r="V20" s="491" t="s">
        <v>310</v>
      </c>
      <c r="W20" s="32" t="s">
        <v>22</v>
      </c>
      <c r="X20" s="115">
        <f t="shared" si="6"/>
        <v>0</v>
      </c>
      <c r="Y20" s="102">
        <f t="shared" si="7"/>
        <v>1</v>
      </c>
      <c r="Z20" s="103">
        <f t="shared" si="8"/>
        <v>0</v>
      </c>
      <c r="AA20" s="101"/>
      <c r="AB20" s="102">
        <f t="shared" si="9"/>
        <v>1</v>
      </c>
      <c r="AC20" s="102">
        <f t="shared" si="10"/>
        <v>1</v>
      </c>
      <c r="AD20" s="104">
        <f t="shared" si="11"/>
        <v>1</v>
      </c>
    </row>
    <row r="21" spans="1:30" ht="15" thickBot="1" x14ac:dyDescent="0.4">
      <c r="A21" s="492"/>
      <c r="B21" s="73" t="s">
        <v>12</v>
      </c>
      <c r="C21" s="152">
        <f>COUNTIFS('Données brutes'!F:F,"But",'Données brutes'!E:E,"JUSTICIA",'Données brutes'!G:G,"CA MB")</f>
        <v>10</v>
      </c>
      <c r="D21" s="90">
        <f>COUNTIFS('Données brutes'!F:F,"Ar GB",'Données brutes'!E:E,"JUSTICIA",'Données brutes'!G:G,"CA MB")</f>
        <v>1</v>
      </c>
      <c r="E21" s="90">
        <f>COUNTIFS('Données brutes'!F:F,"HC",'Données brutes'!E:E,"JUSTICIA",'Données brutes'!G:G,"CA MB")</f>
        <v>0</v>
      </c>
      <c r="F21" s="90">
        <f>COUNTIFS('Données brutes'!F:F,"Arret NC",'Données brutes'!E:E,"JUSTICIA",'Données brutes'!G:G,"CA MB")</f>
        <v>0</v>
      </c>
      <c r="G21" s="114"/>
      <c r="H21" s="492"/>
      <c r="I21" s="73" t="s">
        <v>12</v>
      </c>
      <c r="J21" s="116">
        <f t="shared" si="0"/>
        <v>1</v>
      </c>
      <c r="K21" s="14">
        <f t="shared" si="1"/>
        <v>11</v>
      </c>
      <c r="L21" s="106">
        <f t="shared" si="2"/>
        <v>9.0909090909090912E-2</v>
      </c>
      <c r="M21" s="105"/>
      <c r="N21" s="14">
        <f t="shared" si="3"/>
        <v>10</v>
      </c>
      <c r="O21" s="14">
        <f t="shared" si="4"/>
        <v>11</v>
      </c>
      <c r="P21" s="106">
        <f t="shared" si="5"/>
        <v>0.90909090909090906</v>
      </c>
      <c r="Q21" s="495"/>
      <c r="R21" s="325"/>
      <c r="S21" s="325"/>
      <c r="T21" s="326"/>
      <c r="U21" s="114"/>
      <c r="V21" s="492"/>
      <c r="W21" s="73" t="s">
        <v>12</v>
      </c>
      <c r="X21" s="116">
        <f t="shared" si="6"/>
        <v>1</v>
      </c>
      <c r="Y21" s="14">
        <f t="shared" si="7"/>
        <v>11</v>
      </c>
      <c r="Z21" s="106">
        <f t="shared" si="8"/>
        <v>9.0909090909090912E-2</v>
      </c>
      <c r="AA21" s="105"/>
      <c r="AB21" s="14">
        <f t="shared" si="9"/>
        <v>10</v>
      </c>
      <c r="AC21" s="14">
        <f t="shared" si="10"/>
        <v>11</v>
      </c>
      <c r="AD21" s="37">
        <f t="shared" si="11"/>
        <v>0.90909090909090906</v>
      </c>
    </row>
    <row r="22" spans="1:30" ht="15" thickBot="1" x14ac:dyDescent="0.4">
      <c r="A22" s="488" t="s">
        <v>311</v>
      </c>
      <c r="B22" s="489"/>
      <c r="C22" s="156">
        <f>SUM(C4:C21)</f>
        <v>63</v>
      </c>
      <c r="D22" s="157">
        <f t="shared" ref="D22:E22" si="12">SUM(D4:D21)</f>
        <v>21</v>
      </c>
      <c r="E22" s="157">
        <f t="shared" si="12"/>
        <v>11</v>
      </c>
      <c r="F22" s="157">
        <f>SUM(F4:F17)</f>
        <v>1</v>
      </c>
      <c r="G22" s="111"/>
      <c r="H22" s="488" t="s">
        <v>311</v>
      </c>
      <c r="I22" s="489"/>
      <c r="J22" s="117">
        <f t="shared" si="0"/>
        <v>21</v>
      </c>
      <c r="K22" s="107">
        <f t="shared" si="1"/>
        <v>84</v>
      </c>
      <c r="L22" s="108">
        <f t="shared" si="2"/>
        <v>0.25</v>
      </c>
      <c r="M22" s="100"/>
      <c r="N22" s="107">
        <f t="shared" si="3"/>
        <v>63</v>
      </c>
      <c r="O22" s="107">
        <f t="shared" si="4"/>
        <v>95</v>
      </c>
      <c r="P22" s="108">
        <f t="shared" si="5"/>
        <v>0.66315789473684206</v>
      </c>
      <c r="Q22" s="324"/>
      <c r="R22" s="325"/>
      <c r="S22" s="325"/>
      <c r="T22" s="326"/>
      <c r="U22" s="111"/>
      <c r="V22" s="488" t="s">
        <v>311</v>
      </c>
      <c r="W22" s="489"/>
      <c r="X22" s="117">
        <f t="shared" si="6"/>
        <v>22</v>
      </c>
      <c r="Y22" s="107">
        <f t="shared" si="7"/>
        <v>85</v>
      </c>
      <c r="Z22" s="108">
        <f t="shared" si="8"/>
        <v>0.25882352941176473</v>
      </c>
      <c r="AA22" s="100"/>
      <c r="AB22" s="107">
        <f t="shared" si="9"/>
        <v>63</v>
      </c>
      <c r="AC22" s="107">
        <f t="shared" si="10"/>
        <v>96</v>
      </c>
      <c r="AD22" s="109">
        <f t="shared" si="11"/>
        <v>0.65625</v>
      </c>
    </row>
    <row r="23" spans="1:30" ht="15" thickBot="1" x14ac:dyDescent="0.4">
      <c r="A23" s="95"/>
      <c r="B23" s="96" t="s">
        <v>59</v>
      </c>
      <c r="C23" s="152">
        <f>COUNTIFS('Données brutes'!F:F,"But",'Données brutes'!E:E,"JUSTICIA",'Données brutes'!G:G,"Jet 7m")</f>
        <v>1</v>
      </c>
      <c r="D23" s="90">
        <f>COUNTIFS('Données brutes'!F:F,"Ar GB",'Données brutes'!E:E,"JUSTICIA",'Données brutes'!G:G,"Jet 7m")</f>
        <v>0</v>
      </c>
      <c r="E23" s="90">
        <f>COUNTIFS('Données brutes'!F:F,"HC",'Données brutes'!E:E,"JUSTICIA",'Données brutes'!G:G,"Jet 7m")</f>
        <v>0</v>
      </c>
      <c r="F23" s="90">
        <f>COUNTIFS('Données brutes'!F:F,"Arret NC",'Données brutes'!E:E,"JUSTICIA",'Données brutes'!G:G,"Jet 7m")</f>
        <v>0</v>
      </c>
      <c r="G23" s="111"/>
      <c r="H23" s="95"/>
      <c r="I23" s="96" t="s">
        <v>59</v>
      </c>
      <c r="J23" s="117">
        <f t="shared" si="0"/>
        <v>0</v>
      </c>
      <c r="K23" s="107">
        <f t="shared" si="1"/>
        <v>1</v>
      </c>
      <c r="L23" s="108">
        <f t="shared" si="2"/>
        <v>0</v>
      </c>
      <c r="M23" s="100"/>
      <c r="N23" s="107">
        <f t="shared" si="3"/>
        <v>1</v>
      </c>
      <c r="O23" s="107">
        <f t="shared" si="4"/>
        <v>1</v>
      </c>
      <c r="P23" s="108">
        <f t="shared" si="5"/>
        <v>1</v>
      </c>
      <c r="Q23" s="324"/>
      <c r="R23" s="325"/>
      <c r="S23" s="325"/>
      <c r="T23" s="326"/>
      <c r="U23" s="111"/>
      <c r="V23" s="95"/>
      <c r="W23" s="96" t="s">
        <v>59</v>
      </c>
      <c r="X23" s="117">
        <f t="shared" si="6"/>
        <v>0</v>
      </c>
      <c r="Y23" s="107">
        <f t="shared" si="7"/>
        <v>1</v>
      </c>
      <c r="Z23" s="108">
        <f t="shared" si="8"/>
        <v>0</v>
      </c>
      <c r="AA23" s="100"/>
      <c r="AB23" s="107">
        <f t="shared" si="9"/>
        <v>1</v>
      </c>
      <c r="AC23" s="107">
        <f t="shared" si="10"/>
        <v>1</v>
      </c>
      <c r="AD23" s="109">
        <f t="shared" si="11"/>
        <v>1</v>
      </c>
    </row>
    <row r="24" spans="1:30" ht="15" thickBot="1" x14ac:dyDescent="0.4">
      <c r="A24" s="488" t="s">
        <v>312</v>
      </c>
      <c r="B24" s="489"/>
      <c r="C24" s="156">
        <f>C22+C23</f>
        <v>64</v>
      </c>
      <c r="D24" s="156">
        <f t="shared" ref="D24:F24" si="13">D22+D23</f>
        <v>21</v>
      </c>
      <c r="E24" s="156">
        <f t="shared" si="13"/>
        <v>11</v>
      </c>
      <c r="F24" s="156">
        <f t="shared" si="13"/>
        <v>1</v>
      </c>
      <c r="G24" s="111"/>
      <c r="H24" s="488" t="s">
        <v>312</v>
      </c>
      <c r="I24" s="489"/>
      <c r="J24" s="117">
        <f t="shared" si="0"/>
        <v>21</v>
      </c>
      <c r="K24" s="107">
        <f t="shared" si="1"/>
        <v>85</v>
      </c>
      <c r="L24" s="108">
        <f t="shared" si="2"/>
        <v>0.24705882352941178</v>
      </c>
      <c r="M24" s="100"/>
      <c r="N24" s="107">
        <f t="shared" si="3"/>
        <v>64</v>
      </c>
      <c r="O24" s="107">
        <f t="shared" si="4"/>
        <v>96</v>
      </c>
      <c r="P24" s="108">
        <f t="shared" si="5"/>
        <v>0.66666666666666663</v>
      </c>
      <c r="Q24" s="327"/>
      <c r="R24" s="328"/>
      <c r="S24" s="328"/>
      <c r="T24" s="329"/>
      <c r="U24" s="111"/>
      <c r="V24" s="488" t="s">
        <v>312</v>
      </c>
      <c r="W24" s="489"/>
      <c r="X24" s="117">
        <f t="shared" si="6"/>
        <v>22</v>
      </c>
      <c r="Y24" s="107">
        <f t="shared" si="7"/>
        <v>86</v>
      </c>
      <c r="Z24" s="108">
        <f t="shared" si="8"/>
        <v>0.2558139534883721</v>
      </c>
      <c r="AA24" s="100"/>
      <c r="AB24" s="107">
        <f t="shared" si="9"/>
        <v>64</v>
      </c>
      <c r="AC24" s="107">
        <f t="shared" si="10"/>
        <v>97</v>
      </c>
      <c r="AD24" s="109">
        <f t="shared" si="11"/>
        <v>0.65979381443298968</v>
      </c>
    </row>
    <row r="25" spans="1:30" ht="13.5" customHeight="1" x14ac:dyDescent="0.35"/>
    <row r="26" spans="1:30" hidden="1" x14ac:dyDescent="0.35"/>
    <row r="27" spans="1:30" ht="21" x14ac:dyDescent="0.35">
      <c r="A27" s="500" t="s">
        <v>424</v>
      </c>
      <c r="B27" s="501"/>
      <c r="C27" s="501"/>
      <c r="D27" s="501"/>
      <c r="E27" s="501"/>
      <c r="F27" s="501"/>
      <c r="G27" s="501"/>
      <c r="H27" s="501"/>
      <c r="I27" s="501"/>
      <c r="J27" s="501"/>
      <c r="K27" s="501"/>
      <c r="L27" s="501"/>
      <c r="M27" s="501"/>
      <c r="N27" s="501"/>
      <c r="O27" s="501"/>
      <c r="P27" s="501"/>
      <c r="Q27" s="501"/>
      <c r="R27" s="501"/>
      <c r="S27" s="501"/>
      <c r="T27" s="501"/>
      <c r="U27" s="501"/>
      <c r="V27" s="501"/>
      <c r="W27" s="501"/>
      <c r="X27" s="501"/>
      <c r="Y27" s="501"/>
      <c r="Z27" s="501"/>
      <c r="AA27" s="501"/>
      <c r="AB27" s="501"/>
      <c r="AC27" s="501"/>
      <c r="AD27" s="501"/>
    </row>
    <row r="28" spans="1:30" ht="21.5" thickBot="1" x14ac:dyDescent="0.4">
      <c r="A28" s="502" t="s">
        <v>363</v>
      </c>
      <c r="B28" s="502"/>
      <c r="C28" s="502"/>
      <c r="D28" s="502"/>
      <c r="E28" s="502"/>
      <c r="F28" s="503"/>
      <c r="G28" s="98"/>
      <c r="H28" s="504" t="s">
        <v>149</v>
      </c>
      <c r="I28" s="504"/>
      <c r="J28" s="505" t="s">
        <v>328</v>
      </c>
      <c r="K28" s="505"/>
      <c r="L28" s="505"/>
      <c r="M28" s="99"/>
      <c r="N28" s="505" t="s">
        <v>329</v>
      </c>
      <c r="O28" s="505"/>
      <c r="P28" s="505"/>
      <c r="Q28" s="240"/>
      <c r="R28" s="240"/>
      <c r="S28" s="240"/>
      <c r="T28" s="240"/>
      <c r="U28" s="98"/>
      <c r="V28" s="504" t="s">
        <v>330</v>
      </c>
      <c r="W28" s="504"/>
      <c r="X28" s="505" t="s">
        <v>328</v>
      </c>
      <c r="Y28" s="505"/>
      <c r="Z28" s="505"/>
      <c r="AA28" s="99"/>
      <c r="AB28" s="505" t="s">
        <v>329</v>
      </c>
      <c r="AC28" s="505"/>
      <c r="AD28" s="505"/>
    </row>
    <row r="29" spans="1:30" ht="44" thickBot="1" x14ac:dyDescent="0.4">
      <c r="A29" s="488" t="s">
        <v>5</v>
      </c>
      <c r="B29" s="489"/>
      <c r="C29" s="110" t="s">
        <v>33</v>
      </c>
      <c r="D29" s="88" t="s">
        <v>20</v>
      </c>
      <c r="E29" s="88" t="s">
        <v>10</v>
      </c>
      <c r="F29" s="88" t="s">
        <v>280</v>
      </c>
      <c r="G29" s="111"/>
      <c r="H29" s="488" t="s">
        <v>5</v>
      </c>
      <c r="I29" s="489"/>
      <c r="J29" s="110" t="s">
        <v>20</v>
      </c>
      <c r="K29" s="88" t="s">
        <v>327</v>
      </c>
      <c r="L29" s="88" t="s">
        <v>148</v>
      </c>
      <c r="M29" s="100"/>
      <c r="N29" s="88" t="s">
        <v>11</v>
      </c>
      <c r="O29" s="88" t="s">
        <v>326</v>
      </c>
      <c r="P29" s="88" t="s">
        <v>147</v>
      </c>
      <c r="Q29" s="310"/>
      <c r="R29" s="320" t="s">
        <v>33</v>
      </c>
      <c r="S29" s="320" t="s">
        <v>326</v>
      </c>
      <c r="T29" s="321" t="s">
        <v>150</v>
      </c>
      <c r="U29" s="111"/>
      <c r="V29" s="488" t="s">
        <v>5</v>
      </c>
      <c r="W29" s="489"/>
      <c r="X29" s="110" t="s">
        <v>20</v>
      </c>
      <c r="Y29" s="88" t="s">
        <v>331</v>
      </c>
      <c r="Z29" s="88" t="s">
        <v>148</v>
      </c>
      <c r="AA29" s="100"/>
      <c r="AB29" s="88" t="s">
        <v>11</v>
      </c>
      <c r="AC29" s="88" t="s">
        <v>326</v>
      </c>
      <c r="AD29" s="89" t="s">
        <v>147</v>
      </c>
    </row>
    <row r="30" spans="1:30" ht="15" thickBot="1" x14ac:dyDescent="0.4">
      <c r="A30" s="407" t="s">
        <v>295</v>
      </c>
      <c r="B30" s="32" t="s">
        <v>15</v>
      </c>
      <c r="C30" s="152">
        <f>COUNTIFS('Données brutes'!F:F,"But",'Données brutes'!E:E,"ALIX",'Données brutes'!G:G,"ALG")</f>
        <v>8</v>
      </c>
      <c r="D30" s="90">
        <f>COUNTIFS('Données brutes'!F:F,"Ar GB",'Données brutes'!E:E,"ALIX",'Données brutes'!G:G,"ALG")</f>
        <v>0</v>
      </c>
      <c r="E30" s="90">
        <f>COUNTIFS('Données brutes'!F:F,"HC",'Données brutes'!E:E,"ALIX",'Données brutes'!G:G,"ALG")</f>
        <v>2</v>
      </c>
      <c r="F30" s="90">
        <f>COUNTIFS('Données brutes'!F:F,"Arret NC",'Données brutes'!E:E,"ALIX",'Données brutes'!G:G,"ALG")</f>
        <v>0</v>
      </c>
      <c r="G30" s="112"/>
      <c r="H30" s="407" t="s">
        <v>295</v>
      </c>
      <c r="I30" s="32" t="s">
        <v>15</v>
      </c>
      <c r="J30" s="115">
        <f>$D30</f>
        <v>0</v>
      </c>
      <c r="K30" s="102">
        <f>$C30+$D30</f>
        <v>8</v>
      </c>
      <c r="L30" s="103">
        <f>J30/K30</f>
        <v>0</v>
      </c>
      <c r="M30" s="101"/>
      <c r="N30" s="102">
        <f>$C30</f>
        <v>8</v>
      </c>
      <c r="O30" s="102">
        <f>$C30+$D30+$E30</f>
        <v>10</v>
      </c>
      <c r="P30" s="103">
        <f>N30/O30</f>
        <v>0.8</v>
      </c>
      <c r="Q30" s="404" t="s">
        <v>295</v>
      </c>
      <c r="R30" s="496" t="s">
        <v>394</v>
      </c>
      <c r="S30" s="496"/>
      <c r="T30" s="497"/>
      <c r="U30" s="112"/>
      <c r="V30" s="407" t="s">
        <v>295</v>
      </c>
      <c r="W30" s="32" t="s">
        <v>15</v>
      </c>
      <c r="X30" s="115">
        <f>$D30+$F30</f>
        <v>0</v>
      </c>
      <c r="Y30" s="102">
        <f>$C30+$D30+$F30</f>
        <v>8</v>
      </c>
      <c r="Z30" s="103">
        <f>X30/Y30</f>
        <v>0</v>
      </c>
      <c r="AA30" s="101"/>
      <c r="AB30" s="102">
        <f>$C30</f>
        <v>8</v>
      </c>
      <c r="AC30" s="102">
        <f>C30+D30+F30+E30</f>
        <v>10</v>
      </c>
      <c r="AD30" s="104">
        <f>AB30/AC30</f>
        <v>0.8</v>
      </c>
    </row>
    <row r="31" spans="1:30" ht="15" thickBot="1" x14ac:dyDescent="0.4">
      <c r="A31" s="404"/>
      <c r="B31" s="33" t="s">
        <v>282</v>
      </c>
      <c r="C31" s="153">
        <f>COUNTIFS('Données brutes'!F:F,"But",'Données brutes'!E:E,"ALIX",'Données brutes'!G:G,"1 2")</f>
        <v>3</v>
      </c>
      <c r="D31" s="61">
        <f>COUNTIFS('Données brutes'!F:F,"Ar GB",'Données brutes'!E:E,"ALIX",'Données brutes'!G:G,"1 2")</f>
        <v>2</v>
      </c>
      <c r="E31" s="61">
        <f>COUNTIFS('Données brutes'!F:F,"HC",'Données brutes'!E:E,"ALIX",'Données brutes'!G:G,"1 2")</f>
        <v>1</v>
      </c>
      <c r="F31" s="90">
        <f>COUNTIFS('Données brutes'!F:F,"Arret NC",'Données brutes'!E:E,"ALIX",'Données brutes'!G:G,"1 2")</f>
        <v>1</v>
      </c>
      <c r="G31" s="113"/>
      <c r="H31" s="404"/>
      <c r="I31" s="33" t="s">
        <v>282</v>
      </c>
      <c r="J31" s="31">
        <f t="shared" ref="J31:J50" si="14">$D31</f>
        <v>2</v>
      </c>
      <c r="K31" s="12">
        <f t="shared" ref="K31:K50" si="15">$C31+$D31</f>
        <v>5</v>
      </c>
      <c r="L31" s="27">
        <f t="shared" ref="L31:L50" si="16">J31/K31</f>
        <v>0.4</v>
      </c>
      <c r="M31" s="97"/>
      <c r="N31" s="12">
        <f t="shared" ref="N31:N50" si="17">$C31</f>
        <v>3</v>
      </c>
      <c r="O31" s="12">
        <f t="shared" ref="O31:O50" si="18">$C31+$D31+$E31</f>
        <v>6</v>
      </c>
      <c r="P31" s="27">
        <f t="shared" ref="P31:P50" si="19">N31/O31</f>
        <v>0.5</v>
      </c>
      <c r="Q31" s="404"/>
      <c r="R31" s="319">
        <f>N30+N36</f>
        <v>18</v>
      </c>
      <c r="S31" s="319">
        <f>O30+O36</f>
        <v>23</v>
      </c>
      <c r="T31" s="322">
        <f>R31/S31</f>
        <v>0.78260869565217395</v>
      </c>
      <c r="U31" s="113"/>
      <c r="V31" s="404"/>
      <c r="W31" s="33" t="s">
        <v>282</v>
      </c>
      <c r="X31" s="31">
        <f t="shared" ref="X31:X50" si="20">$D31+$F31</f>
        <v>3</v>
      </c>
      <c r="Y31" s="12">
        <f t="shared" ref="Y31:Y50" si="21">$C31+$D31+$F31</f>
        <v>6</v>
      </c>
      <c r="Z31" s="27">
        <f t="shared" ref="Z31:Z50" si="22">X31/Y31</f>
        <v>0.5</v>
      </c>
      <c r="AA31" s="97"/>
      <c r="AB31" s="12">
        <f t="shared" ref="AB31:AB50" si="23">$C31</f>
        <v>3</v>
      </c>
      <c r="AC31" s="12">
        <f t="shared" ref="AC31:AC50" si="24">C31+D31+F31+E31</f>
        <v>7</v>
      </c>
      <c r="AD31" s="34">
        <f t="shared" ref="AD31:AD50" si="25">AB31/AC31</f>
        <v>0.42857142857142855</v>
      </c>
    </row>
    <row r="32" spans="1:30" ht="15" thickBot="1" x14ac:dyDescent="0.4">
      <c r="A32" s="404"/>
      <c r="B32" s="33" t="s">
        <v>297</v>
      </c>
      <c r="C32" s="153">
        <f>COUNTIFS('Données brutes'!F:F,"But",'Données brutes'!E:E,"ALIX",'Données brutes'!G:G,"2 3")</f>
        <v>2</v>
      </c>
      <c r="D32" s="61">
        <f>COUNTIFS('Données brutes'!F:F,"Ar GB",'Données brutes'!E:E,"ALIX",'Données brutes'!G:G,"2 3")</f>
        <v>0</v>
      </c>
      <c r="E32" s="61">
        <f>COUNTIFS('Données brutes'!F:F,"HC",'Données brutes'!E:E,"ALIX",'Données brutes'!G:G,"2 3")</f>
        <v>0</v>
      </c>
      <c r="F32" s="90">
        <f>COUNTIFS('Données brutes'!F:F,"Arret NC",'Données brutes'!E:E,"ALIX",'Données brutes'!G:G,"2 3")</f>
        <v>0</v>
      </c>
      <c r="G32" s="113"/>
      <c r="H32" s="404"/>
      <c r="I32" s="33" t="s">
        <v>297</v>
      </c>
      <c r="J32" s="31">
        <f t="shared" si="14"/>
        <v>0</v>
      </c>
      <c r="K32" s="12">
        <f t="shared" si="15"/>
        <v>2</v>
      </c>
      <c r="L32" s="27">
        <f t="shared" si="16"/>
        <v>0</v>
      </c>
      <c r="M32" s="97"/>
      <c r="N32" s="12">
        <f t="shared" si="17"/>
        <v>2</v>
      </c>
      <c r="O32" s="12">
        <f t="shared" si="18"/>
        <v>2</v>
      </c>
      <c r="P32" s="27">
        <f t="shared" si="19"/>
        <v>1</v>
      </c>
      <c r="Q32" s="404"/>
      <c r="R32" s="498" t="s">
        <v>395</v>
      </c>
      <c r="S32" s="498"/>
      <c r="T32" s="499"/>
      <c r="U32" s="113"/>
      <c r="V32" s="404"/>
      <c r="W32" s="33" t="s">
        <v>297</v>
      </c>
      <c r="X32" s="31">
        <f t="shared" si="20"/>
        <v>0</v>
      </c>
      <c r="Y32" s="12">
        <f t="shared" si="21"/>
        <v>2</v>
      </c>
      <c r="Z32" s="27">
        <f t="shared" si="22"/>
        <v>0</v>
      </c>
      <c r="AA32" s="97"/>
      <c r="AB32" s="12">
        <f t="shared" si="23"/>
        <v>2</v>
      </c>
      <c r="AC32" s="12">
        <f t="shared" si="24"/>
        <v>2</v>
      </c>
      <c r="AD32" s="34">
        <f t="shared" si="25"/>
        <v>1</v>
      </c>
    </row>
    <row r="33" spans="1:30" ht="15" thickBot="1" x14ac:dyDescent="0.4">
      <c r="A33" s="404"/>
      <c r="B33" s="33" t="s">
        <v>296</v>
      </c>
      <c r="C33" s="153">
        <f>COUNTIFS('Données brutes'!F:F,"But",'Données brutes'!E:E,"ALIX",'Données brutes'!G:G,"3 4")</f>
        <v>3</v>
      </c>
      <c r="D33" s="61">
        <f>COUNTIFS('Données brutes'!F:F,"Ar GB",'Données brutes'!E:E,"ALIX",'Données brutes'!G:G,"3 4")</f>
        <v>0</v>
      </c>
      <c r="E33" s="61">
        <f>COUNTIFS('Données brutes'!F:F,"HC",'Données brutes'!E:E,"ALIX",'Données brutes'!G:G,"3 4")</f>
        <v>0</v>
      </c>
      <c r="F33" s="90">
        <f>COUNTIFS('Données brutes'!F:F,"Arret NC",'Données brutes'!E:E,"ALIX",'Données brutes'!G:G,"3 4")</f>
        <v>0</v>
      </c>
      <c r="G33" s="113"/>
      <c r="H33" s="404"/>
      <c r="I33" s="33" t="s">
        <v>296</v>
      </c>
      <c r="J33" s="31">
        <f t="shared" si="14"/>
        <v>0</v>
      </c>
      <c r="K33" s="12">
        <f t="shared" si="15"/>
        <v>3</v>
      </c>
      <c r="L33" s="27">
        <f t="shared" si="16"/>
        <v>0</v>
      </c>
      <c r="M33" s="97"/>
      <c r="N33" s="12">
        <f t="shared" si="17"/>
        <v>3</v>
      </c>
      <c r="O33" s="12">
        <f t="shared" si="18"/>
        <v>3</v>
      </c>
      <c r="P33" s="27">
        <f t="shared" si="19"/>
        <v>1</v>
      </c>
      <c r="Q33" s="404"/>
      <c r="R33" s="319">
        <f>N31+N35</f>
        <v>5</v>
      </c>
      <c r="S33" s="319">
        <f>O31+O35</f>
        <v>9</v>
      </c>
      <c r="T33" s="322">
        <f>R33/S33</f>
        <v>0.55555555555555558</v>
      </c>
      <c r="U33" s="113"/>
      <c r="V33" s="404"/>
      <c r="W33" s="33" t="s">
        <v>296</v>
      </c>
      <c r="X33" s="31">
        <f t="shared" si="20"/>
        <v>0</v>
      </c>
      <c r="Y33" s="12">
        <f t="shared" si="21"/>
        <v>3</v>
      </c>
      <c r="Z33" s="27">
        <f t="shared" si="22"/>
        <v>0</v>
      </c>
      <c r="AA33" s="97"/>
      <c r="AB33" s="12">
        <f t="shared" si="23"/>
        <v>3</v>
      </c>
      <c r="AC33" s="12">
        <f t="shared" si="24"/>
        <v>3</v>
      </c>
      <c r="AD33" s="34">
        <f t="shared" si="25"/>
        <v>1</v>
      </c>
    </row>
    <row r="34" spans="1:30" ht="15" thickBot="1" x14ac:dyDescent="0.4">
      <c r="A34" s="404"/>
      <c r="B34" s="33" t="s">
        <v>298</v>
      </c>
      <c r="C34" s="153">
        <f>COUNTIFS('Données brutes'!F:F,"But",'Données brutes'!E:E,"ALIX",'Données brutes'!G:G,"4 5")</f>
        <v>3</v>
      </c>
      <c r="D34" s="61">
        <f>COUNTIFS('Données brutes'!F:F,"Ar GB",'Données brutes'!E:E,"ALIX",'Données brutes'!G:G,"4 5")</f>
        <v>0</v>
      </c>
      <c r="E34" s="61">
        <f>COUNTIFS('Données brutes'!F:F,"HC",'Données brutes'!E:E,"ALIX",'Données brutes'!G:G,"4 5")</f>
        <v>1</v>
      </c>
      <c r="F34" s="90">
        <f>COUNTIFS('Données brutes'!F:F,"Arret NC",'Données brutes'!E:E,"ALIX",'Données brutes'!G:G,"4 5")</f>
        <v>0</v>
      </c>
      <c r="G34" s="113"/>
      <c r="H34" s="404"/>
      <c r="I34" s="33" t="s">
        <v>298</v>
      </c>
      <c r="J34" s="31">
        <f t="shared" si="14"/>
        <v>0</v>
      </c>
      <c r="K34" s="12">
        <f t="shared" si="15"/>
        <v>3</v>
      </c>
      <c r="L34" s="27">
        <f t="shared" si="16"/>
        <v>0</v>
      </c>
      <c r="M34" s="97"/>
      <c r="N34" s="12">
        <f t="shared" si="17"/>
        <v>3</v>
      </c>
      <c r="O34" s="12">
        <f t="shared" si="18"/>
        <v>4</v>
      </c>
      <c r="P34" s="27">
        <f t="shared" si="19"/>
        <v>0.75</v>
      </c>
      <c r="Q34" s="404"/>
      <c r="R34" s="498" t="s">
        <v>396</v>
      </c>
      <c r="S34" s="498"/>
      <c r="T34" s="499"/>
      <c r="U34" s="113"/>
      <c r="V34" s="404"/>
      <c r="W34" s="33" t="s">
        <v>298</v>
      </c>
      <c r="X34" s="31">
        <f t="shared" si="20"/>
        <v>0</v>
      </c>
      <c r="Y34" s="12">
        <f t="shared" si="21"/>
        <v>3</v>
      </c>
      <c r="Z34" s="27">
        <f t="shared" si="22"/>
        <v>0</v>
      </c>
      <c r="AA34" s="97"/>
      <c r="AB34" s="12">
        <f t="shared" si="23"/>
        <v>3</v>
      </c>
      <c r="AC34" s="12">
        <f t="shared" si="24"/>
        <v>4</v>
      </c>
      <c r="AD34" s="34">
        <f t="shared" si="25"/>
        <v>0.75</v>
      </c>
    </row>
    <row r="35" spans="1:30" ht="15" thickBot="1" x14ac:dyDescent="0.4">
      <c r="A35" s="404"/>
      <c r="B35" s="33" t="s">
        <v>283</v>
      </c>
      <c r="C35" s="153">
        <f>COUNTIFS('Données brutes'!F:F,"But",'Données brutes'!E:E,"ALIX",'Données brutes'!G:G,"5 6")</f>
        <v>2</v>
      </c>
      <c r="D35" s="61">
        <f>COUNTIFS('Données brutes'!F:F,"Ar GB",'Données brutes'!E:E,"ALIX",'Données brutes'!G:G,"5 6")</f>
        <v>0</v>
      </c>
      <c r="E35" s="61">
        <f>COUNTIFS('Données brutes'!F:F,"HC",'Données brutes'!E:E,"ALIX",'Données brutes'!G:G,"5 6")</f>
        <v>1</v>
      </c>
      <c r="F35" s="90">
        <f>COUNTIFS('Données brutes'!F:F,"Arret NC",'Données brutes'!E:E,"ALIX",'Données brutes'!G:G,"5 6")</f>
        <v>0</v>
      </c>
      <c r="G35" s="113"/>
      <c r="H35" s="404"/>
      <c r="I35" s="33" t="s">
        <v>283</v>
      </c>
      <c r="J35" s="31">
        <f t="shared" si="14"/>
        <v>0</v>
      </c>
      <c r="K35" s="12">
        <f t="shared" si="15"/>
        <v>2</v>
      </c>
      <c r="L35" s="27">
        <f t="shared" si="16"/>
        <v>0</v>
      </c>
      <c r="M35" s="97"/>
      <c r="N35" s="12">
        <f t="shared" si="17"/>
        <v>2</v>
      </c>
      <c r="O35" s="12">
        <f t="shared" si="18"/>
        <v>3</v>
      </c>
      <c r="P35" s="27">
        <f t="shared" si="19"/>
        <v>0.66666666666666663</v>
      </c>
      <c r="Q35" s="404"/>
      <c r="R35" s="319">
        <f>N32+N33+N34</f>
        <v>8</v>
      </c>
      <c r="S35" s="319">
        <f>O32+O33+O34</f>
        <v>9</v>
      </c>
      <c r="T35" s="322">
        <f>R35/S35</f>
        <v>0.88888888888888884</v>
      </c>
      <c r="U35" s="113"/>
      <c r="V35" s="404"/>
      <c r="W35" s="33" t="s">
        <v>283</v>
      </c>
      <c r="X35" s="31">
        <f t="shared" si="20"/>
        <v>0</v>
      </c>
      <c r="Y35" s="12">
        <f t="shared" si="21"/>
        <v>2</v>
      </c>
      <c r="Z35" s="27">
        <f t="shared" si="22"/>
        <v>0</v>
      </c>
      <c r="AA35" s="97"/>
      <c r="AB35" s="12">
        <f t="shared" si="23"/>
        <v>2</v>
      </c>
      <c r="AC35" s="12">
        <f t="shared" si="24"/>
        <v>3</v>
      </c>
      <c r="AD35" s="34">
        <f t="shared" si="25"/>
        <v>0.66666666666666663</v>
      </c>
    </row>
    <row r="36" spans="1:30" ht="15" thickBot="1" x14ac:dyDescent="0.4">
      <c r="A36" s="490"/>
      <c r="B36" s="73" t="s">
        <v>17</v>
      </c>
      <c r="C36" s="154">
        <f>COUNTIFS('Données brutes'!F:F,"But",'Données brutes'!E:E,"ALIX",'Données brutes'!G:G,"ALD")</f>
        <v>10</v>
      </c>
      <c r="D36" s="155">
        <f>COUNTIFS('Données brutes'!F:F,"Ar GB",'Données brutes'!E:E,"ALIX",'Données brutes'!G:G,"ALD")</f>
        <v>2</v>
      </c>
      <c r="E36" s="155">
        <f>COUNTIFS('Données brutes'!F:F,"HC",'Données brutes'!E:E,"ALIX",'Données brutes'!G:G,"ALD")</f>
        <v>1</v>
      </c>
      <c r="F36" s="90">
        <f>COUNTIFS('Données brutes'!F:F,"Arret NC",'Données brutes'!E:E,"ALIX",'Données brutes'!G:G,"ALD")</f>
        <v>0</v>
      </c>
      <c r="G36" s="114"/>
      <c r="H36" s="490"/>
      <c r="I36" s="73" t="s">
        <v>17</v>
      </c>
      <c r="J36" s="116">
        <f t="shared" si="14"/>
        <v>2</v>
      </c>
      <c r="K36" s="14">
        <f t="shared" si="15"/>
        <v>12</v>
      </c>
      <c r="L36" s="106">
        <f t="shared" si="16"/>
        <v>0.16666666666666666</v>
      </c>
      <c r="M36" s="105"/>
      <c r="N36" s="14">
        <f t="shared" si="17"/>
        <v>10</v>
      </c>
      <c r="O36" s="14">
        <f t="shared" si="18"/>
        <v>13</v>
      </c>
      <c r="P36" s="106">
        <f t="shared" si="19"/>
        <v>0.76923076923076927</v>
      </c>
      <c r="Q36" s="404"/>
      <c r="R36" s="325"/>
      <c r="S36" s="325"/>
      <c r="T36" s="326"/>
      <c r="U36" s="114"/>
      <c r="V36" s="490"/>
      <c r="W36" s="73" t="s">
        <v>17</v>
      </c>
      <c r="X36" s="116">
        <f t="shared" si="20"/>
        <v>2</v>
      </c>
      <c r="Y36" s="14">
        <f t="shared" si="21"/>
        <v>12</v>
      </c>
      <c r="Z36" s="106">
        <f t="shared" si="22"/>
        <v>0.16666666666666666</v>
      </c>
      <c r="AA36" s="105"/>
      <c r="AB36" s="14">
        <f t="shared" si="23"/>
        <v>10</v>
      </c>
      <c r="AC36" s="14">
        <f t="shared" si="24"/>
        <v>13</v>
      </c>
      <c r="AD36" s="37">
        <f t="shared" si="25"/>
        <v>0.76923076923076927</v>
      </c>
    </row>
    <row r="37" spans="1:30" ht="15" customHeight="1" thickBot="1" x14ac:dyDescent="0.4">
      <c r="A37" s="491" t="s">
        <v>299</v>
      </c>
      <c r="B37" s="32" t="s">
        <v>301</v>
      </c>
      <c r="C37" s="152">
        <f>COUNTIFS('Données brutes'!F:F,"But",'Données brutes'!E:E,"ALIX",'Données brutes'!G:G,"Central 7m 9m appui")</f>
        <v>1</v>
      </c>
      <c r="D37" s="90">
        <f>COUNTIFS('Données brutes'!F:F,"Ar GB",'Données brutes'!E:E,"ALIX",'Données brutes'!G:G,"Central 7m 9m appui")</f>
        <v>1</v>
      </c>
      <c r="E37" s="90">
        <f>COUNTIFS('Données brutes'!F:F,"HC",'Données brutes'!E:E,"ALIX",'Données brutes'!G:G,"Central 7m 9m appui")</f>
        <v>0</v>
      </c>
      <c r="F37" s="90">
        <f>COUNTIFS('Données brutes'!F:F,"Arret NC",'Données brutes'!E:E,"ALIX",'Données brutes'!G:G,"ALD")</f>
        <v>0</v>
      </c>
      <c r="G37" s="112"/>
      <c r="H37" s="491" t="s">
        <v>299</v>
      </c>
      <c r="I37" s="32" t="s">
        <v>301</v>
      </c>
      <c r="J37" s="115">
        <f t="shared" si="14"/>
        <v>1</v>
      </c>
      <c r="K37" s="102">
        <f t="shared" si="15"/>
        <v>2</v>
      </c>
      <c r="L37" s="103">
        <f t="shared" si="16"/>
        <v>0.5</v>
      </c>
      <c r="M37" s="101"/>
      <c r="N37" s="102">
        <f t="shared" si="17"/>
        <v>1</v>
      </c>
      <c r="O37" s="102">
        <f t="shared" si="18"/>
        <v>2</v>
      </c>
      <c r="P37" s="103">
        <f t="shared" si="19"/>
        <v>0.5</v>
      </c>
      <c r="Q37" s="495" t="s">
        <v>299</v>
      </c>
      <c r="R37" s="319">
        <f>SUM(N37:N39)</f>
        <v>4</v>
      </c>
      <c r="S37" s="319">
        <f>SUM(O37:O39)</f>
        <v>7</v>
      </c>
      <c r="T37" s="322">
        <f>R37/S37</f>
        <v>0.5714285714285714</v>
      </c>
      <c r="U37" s="112"/>
      <c r="V37" s="491" t="s">
        <v>299</v>
      </c>
      <c r="W37" s="32" t="s">
        <v>301</v>
      </c>
      <c r="X37" s="115">
        <f t="shared" si="20"/>
        <v>1</v>
      </c>
      <c r="Y37" s="102">
        <f t="shared" si="21"/>
        <v>2</v>
      </c>
      <c r="Z37" s="103">
        <f t="shared" si="22"/>
        <v>0.5</v>
      </c>
      <c r="AA37" s="101"/>
      <c r="AB37" s="102">
        <f t="shared" si="23"/>
        <v>1</v>
      </c>
      <c r="AC37" s="102">
        <f t="shared" si="24"/>
        <v>2</v>
      </c>
      <c r="AD37" s="104">
        <f t="shared" si="25"/>
        <v>0.5</v>
      </c>
    </row>
    <row r="38" spans="1:30" ht="15" thickBot="1" x14ac:dyDescent="0.4">
      <c r="A38" s="495"/>
      <c r="B38" s="33" t="s">
        <v>302</v>
      </c>
      <c r="C38" s="153">
        <f>COUNTIFS('Données brutes'!F:F,"But",'Données brutes'!E:E,"ALIX",'Données brutes'!G:G,"7m 9m Ext G appui")</f>
        <v>1</v>
      </c>
      <c r="D38" s="61">
        <f>COUNTIFS('Données brutes'!F:F,"Ar GB",'Données brutes'!E:E,"ALIX",'Données brutes'!G:G,"7m 9m Ext G appui")</f>
        <v>0</v>
      </c>
      <c r="E38" s="61">
        <f>COUNTIFS('Données brutes'!F:F,"HC",'Données brutes'!E:E,"ALIX",'Données brutes'!G:G,"7m 9m Ext G appui")</f>
        <v>0</v>
      </c>
      <c r="F38" s="90">
        <f>COUNTIFS('Données brutes'!F:F,"Arret NC",'Données brutes'!E:E,"ALIX",'Données brutes'!G:G,"7m 9m Ext G appui")</f>
        <v>0</v>
      </c>
      <c r="G38" s="113"/>
      <c r="H38" s="495"/>
      <c r="I38" s="33" t="s">
        <v>302</v>
      </c>
      <c r="J38" s="31">
        <f t="shared" si="14"/>
        <v>0</v>
      </c>
      <c r="K38" s="12">
        <f t="shared" si="15"/>
        <v>1</v>
      </c>
      <c r="L38" s="27">
        <f t="shared" si="16"/>
        <v>0</v>
      </c>
      <c r="M38" s="97"/>
      <c r="N38" s="12">
        <f t="shared" si="17"/>
        <v>1</v>
      </c>
      <c r="O38" s="12">
        <f t="shared" si="18"/>
        <v>1</v>
      </c>
      <c r="P38" s="27">
        <f t="shared" si="19"/>
        <v>1</v>
      </c>
      <c r="Q38" s="495"/>
      <c r="R38" s="325"/>
      <c r="S38" s="325"/>
      <c r="T38" s="326"/>
      <c r="U38" s="113"/>
      <c r="V38" s="495"/>
      <c r="W38" s="33" t="s">
        <v>302</v>
      </c>
      <c r="X38" s="31">
        <f t="shared" si="20"/>
        <v>0</v>
      </c>
      <c r="Y38" s="12">
        <f t="shared" si="21"/>
        <v>1</v>
      </c>
      <c r="Z38" s="27">
        <f t="shared" si="22"/>
        <v>0</v>
      </c>
      <c r="AA38" s="97"/>
      <c r="AB38" s="12">
        <f t="shared" si="23"/>
        <v>1</v>
      </c>
      <c r="AC38" s="12">
        <f t="shared" si="24"/>
        <v>1</v>
      </c>
      <c r="AD38" s="34">
        <f t="shared" si="25"/>
        <v>1</v>
      </c>
    </row>
    <row r="39" spans="1:30" ht="15" thickBot="1" x14ac:dyDescent="0.4">
      <c r="A39" s="492"/>
      <c r="B39" s="73" t="s">
        <v>303</v>
      </c>
      <c r="C39" s="154">
        <f>COUNTIFS('Données brutes'!F:F,"But",'Données brutes'!E:E,"ALIX",'Données brutes'!G:G,"7m 9m Ext D appui")</f>
        <v>2</v>
      </c>
      <c r="D39" s="155">
        <f>COUNTIFS('Données brutes'!F:F,"Ar GB",'Données brutes'!E:E,"ALIX",'Données brutes'!G:G,"7m 9m Ext D appui")</f>
        <v>0</v>
      </c>
      <c r="E39" s="155">
        <f>COUNTIFS('Données brutes'!F:F,"HC",'Données brutes'!E:E,"ALIX",'Données brutes'!G:G,"7m 9m Ext D appui")</f>
        <v>2</v>
      </c>
      <c r="F39" s="90">
        <f>COUNTIFS('Données brutes'!F:F,"Arret NC",'Données brutes'!E:E,"ALIX",'Données brutes'!G:G,"ALD")</f>
        <v>0</v>
      </c>
      <c r="G39" s="114"/>
      <c r="H39" s="492"/>
      <c r="I39" s="73" t="s">
        <v>303</v>
      </c>
      <c r="J39" s="116">
        <f t="shared" si="14"/>
        <v>0</v>
      </c>
      <c r="K39" s="14">
        <f t="shared" si="15"/>
        <v>2</v>
      </c>
      <c r="L39" s="106">
        <f t="shared" si="16"/>
        <v>0</v>
      </c>
      <c r="M39" s="105"/>
      <c r="N39" s="14">
        <f t="shared" si="17"/>
        <v>2</v>
      </c>
      <c r="O39" s="14">
        <f t="shared" si="18"/>
        <v>4</v>
      </c>
      <c r="P39" s="106">
        <f t="shared" si="19"/>
        <v>0.5</v>
      </c>
      <c r="Q39" s="495"/>
      <c r="R39" s="325"/>
      <c r="S39" s="325"/>
      <c r="T39" s="326"/>
      <c r="U39" s="114"/>
      <c r="V39" s="492"/>
      <c r="W39" s="73" t="s">
        <v>303</v>
      </c>
      <c r="X39" s="116">
        <f t="shared" si="20"/>
        <v>0</v>
      </c>
      <c r="Y39" s="14">
        <f t="shared" si="21"/>
        <v>2</v>
      </c>
      <c r="Z39" s="106">
        <f t="shared" si="22"/>
        <v>0</v>
      </c>
      <c r="AA39" s="105"/>
      <c r="AB39" s="14">
        <f t="shared" si="23"/>
        <v>2</v>
      </c>
      <c r="AC39" s="14">
        <f t="shared" si="24"/>
        <v>4</v>
      </c>
      <c r="AD39" s="37">
        <f t="shared" si="25"/>
        <v>0.5</v>
      </c>
    </row>
    <row r="40" spans="1:30" ht="15" customHeight="1" thickBot="1" x14ac:dyDescent="0.4">
      <c r="A40" s="491" t="s">
        <v>300</v>
      </c>
      <c r="B40" s="32" t="s">
        <v>304</v>
      </c>
      <c r="C40" s="152">
        <f>COUNTIFS('Données brutes'!F:F,"But",'Données brutes'!E:E,"ALIX",'Données brutes'!G:G,"7m 9m central suspension")</f>
        <v>5</v>
      </c>
      <c r="D40" s="90">
        <f>COUNTIFS('Données brutes'!F:F,"Ar GB",'Données brutes'!E:E,"ALIX",'Données brutes'!G:G,"7m 9m central suspension")</f>
        <v>3</v>
      </c>
      <c r="E40" s="90">
        <f>COUNTIFS('Données brutes'!F:F,"HC",'Données brutes'!E:E,"ALIX",'Données brutes'!G:G,"7m 9m central suspension")</f>
        <v>0</v>
      </c>
      <c r="F40" s="90">
        <f>COUNTIFS('Données brutes'!F:F,"Arret NC",'Données brutes'!E:E,"ALIX",'Données brutes'!G:G,"ALD")</f>
        <v>0</v>
      </c>
      <c r="G40" s="112"/>
      <c r="H40" s="491" t="s">
        <v>300</v>
      </c>
      <c r="I40" s="32" t="s">
        <v>304</v>
      </c>
      <c r="J40" s="115">
        <f t="shared" si="14"/>
        <v>3</v>
      </c>
      <c r="K40" s="102">
        <f t="shared" si="15"/>
        <v>8</v>
      </c>
      <c r="L40" s="103">
        <f t="shared" si="16"/>
        <v>0.375</v>
      </c>
      <c r="M40" s="101"/>
      <c r="N40" s="102">
        <f t="shared" si="17"/>
        <v>5</v>
      </c>
      <c r="O40" s="102">
        <f t="shared" si="18"/>
        <v>8</v>
      </c>
      <c r="P40" s="103">
        <f t="shared" si="19"/>
        <v>0.625</v>
      </c>
      <c r="Q40" s="495" t="s">
        <v>300</v>
      </c>
      <c r="R40" s="319">
        <f>SUM(N40:N42)</f>
        <v>6</v>
      </c>
      <c r="S40" s="319">
        <f>SUM(O40:O42)</f>
        <v>11</v>
      </c>
      <c r="T40" s="322">
        <f>R40/S40</f>
        <v>0.54545454545454541</v>
      </c>
      <c r="U40" s="112"/>
      <c r="V40" s="491" t="s">
        <v>300</v>
      </c>
      <c r="W40" s="32" t="s">
        <v>304</v>
      </c>
      <c r="X40" s="115">
        <f t="shared" si="20"/>
        <v>3</v>
      </c>
      <c r="Y40" s="102">
        <f t="shared" si="21"/>
        <v>8</v>
      </c>
      <c r="Z40" s="103">
        <f t="shared" si="22"/>
        <v>0.375</v>
      </c>
      <c r="AA40" s="101"/>
      <c r="AB40" s="102">
        <f t="shared" si="23"/>
        <v>5</v>
      </c>
      <c r="AC40" s="102">
        <f t="shared" si="24"/>
        <v>8</v>
      </c>
      <c r="AD40" s="104">
        <f t="shared" si="25"/>
        <v>0.625</v>
      </c>
    </row>
    <row r="41" spans="1:30" ht="15" thickBot="1" x14ac:dyDescent="0.4">
      <c r="A41" s="495"/>
      <c r="B41" s="33" t="s">
        <v>305</v>
      </c>
      <c r="C41" s="153">
        <f>COUNTIFS('Données brutes'!F:F,"But",'Données brutes'!E:E,"ALIX",'Données brutes'!G:G,"7m 9m Ext G suspension")</f>
        <v>0</v>
      </c>
      <c r="D41" s="61">
        <f>COUNTIFS('Données brutes'!F:F,"Ar GB",'Données brutes'!E:E,"ALIX",'Données brutes'!G:G,"7m 9m Ext G suspension")</f>
        <v>0</v>
      </c>
      <c r="E41" s="61">
        <f>COUNTIFS('Données brutes'!F:F,"HC",'Données brutes'!E:E,"ALIX",'Données brutes'!G:G,"7m 9m Ext G suspension")</f>
        <v>0</v>
      </c>
      <c r="F41" s="90">
        <f>COUNTIFS('Données brutes'!F:F,"Arret NC",'Données brutes'!E:E,"ALIX",'Données brutes'!G:G,"ALD")</f>
        <v>0</v>
      </c>
      <c r="G41" s="113"/>
      <c r="H41" s="495"/>
      <c r="I41" s="33" t="s">
        <v>305</v>
      </c>
      <c r="J41" s="31">
        <f t="shared" si="14"/>
        <v>0</v>
      </c>
      <c r="K41" s="12">
        <f t="shared" si="15"/>
        <v>0</v>
      </c>
      <c r="L41" s="27" t="e">
        <f t="shared" si="16"/>
        <v>#DIV/0!</v>
      </c>
      <c r="M41" s="97"/>
      <c r="N41" s="12">
        <f t="shared" si="17"/>
        <v>0</v>
      </c>
      <c r="O41" s="12">
        <f t="shared" si="18"/>
        <v>0</v>
      </c>
      <c r="P41" s="27" t="e">
        <f t="shared" si="19"/>
        <v>#DIV/0!</v>
      </c>
      <c r="Q41" s="495"/>
      <c r="R41" s="325"/>
      <c r="S41" s="325"/>
      <c r="T41" s="326"/>
      <c r="U41" s="113"/>
      <c r="V41" s="495"/>
      <c r="W41" s="33" t="s">
        <v>305</v>
      </c>
      <c r="X41" s="31">
        <f t="shared" si="20"/>
        <v>0</v>
      </c>
      <c r="Y41" s="12">
        <f t="shared" si="21"/>
        <v>0</v>
      </c>
      <c r="Z41" s="27" t="e">
        <f t="shared" si="22"/>
        <v>#DIV/0!</v>
      </c>
      <c r="AA41" s="97"/>
      <c r="AB41" s="12">
        <f t="shared" si="23"/>
        <v>0</v>
      </c>
      <c r="AC41" s="12">
        <f t="shared" si="24"/>
        <v>0</v>
      </c>
      <c r="AD41" s="34" t="e">
        <f t="shared" si="25"/>
        <v>#DIV/0!</v>
      </c>
    </row>
    <row r="42" spans="1:30" ht="15" thickBot="1" x14ac:dyDescent="0.4">
      <c r="A42" s="492"/>
      <c r="B42" s="73" t="s">
        <v>306</v>
      </c>
      <c r="C42" s="153">
        <f>COUNTIFS('Données brutes'!F:F,"But",'Données brutes'!E:E,"ALIX",'Données brutes'!G:G,"7m 9m Ext D suspension")</f>
        <v>1</v>
      </c>
      <c r="D42" s="61">
        <f>COUNTIFS('Données brutes'!F:F,"Ar GB",'Données brutes'!E:E,"ALIX",'Données brutes'!G:G,"7m 9m Ext D suspension")</f>
        <v>1</v>
      </c>
      <c r="E42" s="61">
        <f>COUNTIFS('Données brutes'!F:F,"HC",'Données brutes'!E:E,"ALIX",'Données brutes'!G:G,"7m 9m Ext D suspension")</f>
        <v>1</v>
      </c>
      <c r="F42" s="90">
        <f>COUNTIFS('Données brutes'!F:F,"Arret NC",'Données brutes'!E:E,"ALIX",'Données brutes'!G:G,"7m 9m Ext D suspension")</f>
        <v>0</v>
      </c>
      <c r="G42" s="114"/>
      <c r="H42" s="492"/>
      <c r="I42" s="73" t="s">
        <v>306</v>
      </c>
      <c r="J42" s="116">
        <f t="shared" si="14"/>
        <v>1</v>
      </c>
      <c r="K42" s="14">
        <f t="shared" si="15"/>
        <v>2</v>
      </c>
      <c r="L42" s="106">
        <f t="shared" si="16"/>
        <v>0.5</v>
      </c>
      <c r="M42" s="105"/>
      <c r="N42" s="14">
        <f t="shared" si="17"/>
        <v>1</v>
      </c>
      <c r="O42" s="14">
        <f t="shared" si="18"/>
        <v>3</v>
      </c>
      <c r="P42" s="106">
        <f t="shared" si="19"/>
        <v>0.33333333333333331</v>
      </c>
      <c r="Q42" s="495"/>
      <c r="R42" s="325"/>
      <c r="S42" s="325"/>
      <c r="T42" s="326"/>
      <c r="U42" s="114"/>
      <c r="V42" s="492"/>
      <c r="W42" s="73" t="s">
        <v>306</v>
      </c>
      <c r="X42" s="116">
        <f t="shared" si="20"/>
        <v>1</v>
      </c>
      <c r="Y42" s="14">
        <f t="shared" si="21"/>
        <v>2</v>
      </c>
      <c r="Z42" s="106">
        <f t="shared" si="22"/>
        <v>0.5</v>
      </c>
      <c r="AA42" s="105"/>
      <c r="AB42" s="14">
        <f t="shared" si="23"/>
        <v>1</v>
      </c>
      <c r="AC42" s="14">
        <f t="shared" si="24"/>
        <v>3</v>
      </c>
      <c r="AD42" s="37">
        <f t="shared" si="25"/>
        <v>0.33333333333333331</v>
      </c>
    </row>
    <row r="43" spans="1:30" ht="15" thickBot="1" x14ac:dyDescent="0.4">
      <c r="A43" s="407" t="s">
        <v>146</v>
      </c>
      <c r="B43" s="32" t="s">
        <v>307</v>
      </c>
      <c r="C43" s="152">
        <f>COUNTIFS('Données brutes'!F:F,"But",'Données brutes'!E:E,"ALIX",'Données brutes'!G:G,"9m G")</f>
        <v>0</v>
      </c>
      <c r="D43" s="90">
        <f>COUNTIFS('Données brutes'!F:F,"Ar GB",'Données brutes'!E:E,"ALIX",'Données brutes'!G:G,"9m G")</f>
        <v>2</v>
      </c>
      <c r="E43" s="90">
        <f>COUNTIFS('Données brutes'!F:F,"HC",'Données brutes'!E:E,"ALIX",'Données brutes'!G:G,"9m G")</f>
        <v>1</v>
      </c>
      <c r="F43" s="90">
        <f>COUNTIFS('Données brutes'!F:F,"Arret NC",'Données brutes'!E:E,"ALIX",'Données brutes'!G:G,"9m G")</f>
        <v>0</v>
      </c>
      <c r="G43" s="112"/>
      <c r="H43" s="407" t="s">
        <v>146</v>
      </c>
      <c r="I43" s="32" t="s">
        <v>307</v>
      </c>
      <c r="J43" s="115">
        <f t="shared" si="14"/>
        <v>2</v>
      </c>
      <c r="K43" s="102">
        <f t="shared" si="15"/>
        <v>2</v>
      </c>
      <c r="L43" s="103">
        <f t="shared" si="16"/>
        <v>1</v>
      </c>
      <c r="M43" s="101"/>
      <c r="N43" s="102">
        <f t="shared" si="17"/>
        <v>0</v>
      </c>
      <c r="O43" s="102">
        <f t="shared" si="18"/>
        <v>3</v>
      </c>
      <c r="P43" s="103">
        <f t="shared" si="19"/>
        <v>0</v>
      </c>
      <c r="Q43" s="404" t="s">
        <v>146</v>
      </c>
      <c r="R43" s="319">
        <f>SUM(N43:N45)</f>
        <v>7</v>
      </c>
      <c r="S43" s="319">
        <f>SUM(O43:O45)</f>
        <v>21</v>
      </c>
      <c r="T43" s="322">
        <f>R43/S43</f>
        <v>0.33333333333333331</v>
      </c>
      <c r="U43" s="112"/>
      <c r="V43" s="407" t="s">
        <v>146</v>
      </c>
      <c r="W43" s="32" t="s">
        <v>307</v>
      </c>
      <c r="X43" s="115">
        <f t="shared" si="20"/>
        <v>2</v>
      </c>
      <c r="Y43" s="102">
        <f t="shared" si="21"/>
        <v>2</v>
      </c>
      <c r="Z43" s="103">
        <f t="shared" si="22"/>
        <v>1</v>
      </c>
      <c r="AA43" s="101"/>
      <c r="AB43" s="102">
        <f t="shared" si="23"/>
        <v>0</v>
      </c>
      <c r="AC43" s="102">
        <f t="shared" si="24"/>
        <v>3</v>
      </c>
      <c r="AD43" s="104">
        <f t="shared" si="25"/>
        <v>0</v>
      </c>
    </row>
    <row r="44" spans="1:30" ht="15" thickBot="1" x14ac:dyDescent="0.4">
      <c r="A44" s="404"/>
      <c r="B44" s="33" t="s">
        <v>308</v>
      </c>
      <c r="C44" s="152">
        <f>COUNTIFS('Données brutes'!F:F,"But",'Données brutes'!E:E,"ALIX",'Données brutes'!G:G,"9m +")</f>
        <v>6</v>
      </c>
      <c r="D44" s="90">
        <f>COUNTIFS('Données brutes'!F:F,"Ar GB",'Données brutes'!E:E,"ALIX",'Données brutes'!G:G,"9m +")</f>
        <v>6</v>
      </c>
      <c r="E44" s="90">
        <f>COUNTIFS('Données brutes'!F:F,"HC",'Données brutes'!E:E,"ALIX",'Données brutes'!G:G,"9m +")</f>
        <v>3</v>
      </c>
      <c r="F44" s="90">
        <f>COUNTIFS('Données brutes'!F:F,"Arret NC",'Données brutes'!E:E,"ALIX",'Données brutes'!G:G,"9m +")</f>
        <v>0</v>
      </c>
      <c r="G44" s="113"/>
      <c r="H44" s="404"/>
      <c r="I44" s="33" t="s">
        <v>308</v>
      </c>
      <c r="J44" s="31">
        <f t="shared" si="14"/>
        <v>6</v>
      </c>
      <c r="K44" s="12">
        <f t="shared" si="15"/>
        <v>12</v>
      </c>
      <c r="L44" s="27">
        <f t="shared" si="16"/>
        <v>0.5</v>
      </c>
      <c r="M44" s="97"/>
      <c r="N44" s="12">
        <f t="shared" si="17"/>
        <v>6</v>
      </c>
      <c r="O44" s="12">
        <f t="shared" si="18"/>
        <v>15</v>
      </c>
      <c r="P44" s="27">
        <f t="shared" si="19"/>
        <v>0.4</v>
      </c>
      <c r="Q44" s="404"/>
      <c r="R44" s="325"/>
      <c r="S44" s="325"/>
      <c r="T44" s="326"/>
      <c r="U44" s="113"/>
      <c r="V44" s="404"/>
      <c r="W44" s="33" t="s">
        <v>308</v>
      </c>
      <c r="X44" s="31">
        <f t="shared" si="20"/>
        <v>6</v>
      </c>
      <c r="Y44" s="12">
        <f t="shared" si="21"/>
        <v>12</v>
      </c>
      <c r="Z44" s="27">
        <f t="shared" si="22"/>
        <v>0.5</v>
      </c>
      <c r="AA44" s="97"/>
      <c r="AB44" s="12">
        <f t="shared" si="23"/>
        <v>6</v>
      </c>
      <c r="AC44" s="12">
        <f t="shared" si="24"/>
        <v>15</v>
      </c>
      <c r="AD44" s="34">
        <f t="shared" si="25"/>
        <v>0.4</v>
      </c>
    </row>
    <row r="45" spans="1:30" ht="15" thickBot="1" x14ac:dyDescent="0.4">
      <c r="A45" s="490"/>
      <c r="B45" s="73" t="s">
        <v>309</v>
      </c>
      <c r="C45" s="152">
        <f>COUNTIFS('Données brutes'!F:F,"But",'Données brutes'!E:E,"ALIX",'Données brutes'!G:G,"9m D")</f>
        <v>1</v>
      </c>
      <c r="D45" s="90">
        <f>COUNTIFS('Données brutes'!F:F,"Ar GB",'Données brutes'!E:E,"ALIX",'Données brutes'!G:G,"9m D")</f>
        <v>0</v>
      </c>
      <c r="E45" s="90">
        <f>COUNTIFS('Données brutes'!F:F,"HC",'Données brutes'!E:E,"ALIX",'Données brutes'!G:G,"9m D")</f>
        <v>2</v>
      </c>
      <c r="F45" s="90">
        <f>COUNTIFS('Données brutes'!F:F,"Arret NC",'Données brutes'!E:E,"ALIX",'Données brutes'!G:G,"9m D")</f>
        <v>0</v>
      </c>
      <c r="G45" s="114"/>
      <c r="H45" s="490"/>
      <c r="I45" s="73" t="s">
        <v>309</v>
      </c>
      <c r="J45" s="116">
        <f t="shared" si="14"/>
        <v>0</v>
      </c>
      <c r="K45" s="14">
        <f t="shared" si="15"/>
        <v>1</v>
      </c>
      <c r="L45" s="106">
        <f t="shared" si="16"/>
        <v>0</v>
      </c>
      <c r="M45" s="105"/>
      <c r="N45" s="14">
        <f t="shared" si="17"/>
        <v>1</v>
      </c>
      <c r="O45" s="14">
        <f t="shared" si="18"/>
        <v>3</v>
      </c>
      <c r="P45" s="106">
        <f t="shared" si="19"/>
        <v>0.33333333333333331</v>
      </c>
      <c r="Q45" s="404"/>
      <c r="R45" s="325"/>
      <c r="S45" s="325"/>
      <c r="T45" s="326"/>
      <c r="U45" s="114"/>
      <c r="V45" s="490"/>
      <c r="W45" s="73" t="s">
        <v>309</v>
      </c>
      <c r="X45" s="116">
        <f t="shared" si="20"/>
        <v>0</v>
      </c>
      <c r="Y45" s="14">
        <f t="shared" si="21"/>
        <v>1</v>
      </c>
      <c r="Z45" s="106">
        <f t="shared" si="22"/>
        <v>0</v>
      </c>
      <c r="AA45" s="105"/>
      <c r="AB45" s="14">
        <f t="shared" si="23"/>
        <v>1</v>
      </c>
      <c r="AC45" s="14">
        <f t="shared" si="24"/>
        <v>3</v>
      </c>
      <c r="AD45" s="37">
        <f t="shared" si="25"/>
        <v>0.33333333333333331</v>
      </c>
    </row>
    <row r="46" spans="1:30" ht="15" customHeight="1" thickBot="1" x14ac:dyDescent="0.4">
      <c r="A46" s="491" t="s">
        <v>310</v>
      </c>
      <c r="B46" s="32" t="s">
        <v>22</v>
      </c>
      <c r="C46" s="152">
        <f>COUNTIFS('Données brutes'!F:F,"But",'Données brutes'!E:E,"ALIX",'Données brutes'!G:G,"But vide")</f>
        <v>0</v>
      </c>
      <c r="D46" s="90">
        <f>COUNTIFS('Données brutes'!F:F,"Ar GB",'Données brutes'!E:E,"ALIX",'Données brutes'!G:G,"But vide")</f>
        <v>0</v>
      </c>
      <c r="E46" s="90">
        <f>COUNTIFS('Données brutes'!F:F,"HC",'Données brutes'!E:E,"ALIX",'Données brutes'!G:G,"But vide")</f>
        <v>2</v>
      </c>
      <c r="F46" s="90">
        <f>COUNTIFS('Données brutes'!F:F,"Arret NC",'Données brutes'!E:E,"ALIX",'Données brutes'!G:G,"But vide")</f>
        <v>0</v>
      </c>
      <c r="G46" s="112"/>
      <c r="H46" s="491" t="s">
        <v>310</v>
      </c>
      <c r="I46" s="32" t="s">
        <v>22</v>
      </c>
      <c r="J46" s="115">
        <f t="shared" si="14"/>
        <v>0</v>
      </c>
      <c r="K46" s="102">
        <f t="shared" si="15"/>
        <v>0</v>
      </c>
      <c r="L46" s="103" t="e">
        <f t="shared" si="16"/>
        <v>#DIV/0!</v>
      </c>
      <c r="M46" s="101"/>
      <c r="N46" s="102">
        <f t="shared" si="17"/>
        <v>0</v>
      </c>
      <c r="O46" s="102">
        <f t="shared" si="18"/>
        <v>2</v>
      </c>
      <c r="P46" s="103">
        <f t="shared" si="19"/>
        <v>0</v>
      </c>
      <c r="Q46" s="495" t="s">
        <v>310</v>
      </c>
      <c r="R46" s="319">
        <f>N46+N47</f>
        <v>5</v>
      </c>
      <c r="S46" s="319">
        <f>O46+O47</f>
        <v>8</v>
      </c>
      <c r="T46" s="322">
        <f>R46/S46</f>
        <v>0.625</v>
      </c>
      <c r="U46" s="112"/>
      <c r="V46" s="491" t="s">
        <v>310</v>
      </c>
      <c r="W46" s="32" t="s">
        <v>22</v>
      </c>
      <c r="X46" s="115">
        <f t="shared" si="20"/>
        <v>0</v>
      </c>
      <c r="Y46" s="102">
        <f t="shared" si="21"/>
        <v>0</v>
      </c>
      <c r="Z46" s="103" t="e">
        <f t="shared" si="22"/>
        <v>#DIV/0!</v>
      </c>
      <c r="AA46" s="101"/>
      <c r="AB46" s="102">
        <f t="shared" si="23"/>
        <v>0</v>
      </c>
      <c r="AC46" s="102">
        <f t="shared" si="24"/>
        <v>2</v>
      </c>
      <c r="AD46" s="104">
        <f t="shared" si="25"/>
        <v>0</v>
      </c>
    </row>
    <row r="47" spans="1:30" ht="15" thickBot="1" x14ac:dyDescent="0.4">
      <c r="A47" s="492"/>
      <c r="B47" s="73" t="s">
        <v>12</v>
      </c>
      <c r="C47" s="152">
        <f>COUNTIFS('Données brutes'!F:F,"But",'Données brutes'!E:E,"ALIX",'Données brutes'!G:G,"CA MB")</f>
        <v>5</v>
      </c>
      <c r="D47" s="90">
        <f>COUNTIFS('Données brutes'!F:F,"Ar GB",'Données brutes'!E:E,"ALIX",'Données brutes'!G:G,"CA MB")</f>
        <v>0</v>
      </c>
      <c r="E47" s="90">
        <f>COUNTIFS('Données brutes'!F:F,"HC",'Données brutes'!E:E,"ALIX",'Données brutes'!G:G,"CA MB")</f>
        <v>1</v>
      </c>
      <c r="F47" s="90">
        <f>COUNTIFS('Données brutes'!F:F,"Arret NC",'Données brutes'!E:E,"ALIX",'Données brutes'!G:G,"CA MB")</f>
        <v>0</v>
      </c>
      <c r="G47" s="114"/>
      <c r="H47" s="492"/>
      <c r="I47" s="73" t="s">
        <v>12</v>
      </c>
      <c r="J47" s="116">
        <f t="shared" si="14"/>
        <v>0</v>
      </c>
      <c r="K47" s="14">
        <f t="shared" si="15"/>
        <v>5</v>
      </c>
      <c r="L47" s="106">
        <f t="shared" si="16"/>
        <v>0</v>
      </c>
      <c r="M47" s="105"/>
      <c r="N47" s="14">
        <f t="shared" si="17"/>
        <v>5</v>
      </c>
      <c r="O47" s="14">
        <f t="shared" si="18"/>
        <v>6</v>
      </c>
      <c r="P47" s="106">
        <f t="shared" si="19"/>
        <v>0.83333333333333337</v>
      </c>
      <c r="Q47" s="495"/>
      <c r="R47" s="325"/>
      <c r="S47" s="325"/>
      <c r="T47" s="326"/>
      <c r="U47" s="114"/>
      <c r="V47" s="492"/>
      <c r="W47" s="73" t="s">
        <v>12</v>
      </c>
      <c r="X47" s="116">
        <f t="shared" si="20"/>
        <v>0</v>
      </c>
      <c r="Y47" s="14">
        <f t="shared" si="21"/>
        <v>5</v>
      </c>
      <c r="Z47" s="106">
        <f t="shared" si="22"/>
        <v>0</v>
      </c>
      <c r="AA47" s="105"/>
      <c r="AB47" s="14">
        <f t="shared" si="23"/>
        <v>5</v>
      </c>
      <c r="AC47" s="14">
        <f t="shared" si="24"/>
        <v>6</v>
      </c>
      <c r="AD47" s="37">
        <f t="shared" si="25"/>
        <v>0.83333333333333337</v>
      </c>
    </row>
    <row r="48" spans="1:30" ht="15" thickBot="1" x14ac:dyDescent="0.4">
      <c r="A48" s="488" t="s">
        <v>311</v>
      </c>
      <c r="B48" s="489"/>
      <c r="C48" s="156">
        <f>SUM(C30:C47)</f>
        <v>53</v>
      </c>
      <c r="D48" s="157">
        <f t="shared" ref="D48:E48" si="26">SUM(D30:D47)</f>
        <v>17</v>
      </c>
      <c r="E48" s="157">
        <f t="shared" si="26"/>
        <v>18</v>
      </c>
      <c r="F48" s="157">
        <f>SUM(F30:F43)</f>
        <v>1</v>
      </c>
      <c r="G48" s="111"/>
      <c r="H48" s="488" t="s">
        <v>311</v>
      </c>
      <c r="I48" s="489"/>
      <c r="J48" s="117">
        <f t="shared" si="14"/>
        <v>17</v>
      </c>
      <c r="K48" s="107">
        <f t="shared" si="15"/>
        <v>70</v>
      </c>
      <c r="L48" s="108">
        <f t="shared" si="16"/>
        <v>0.24285714285714285</v>
      </c>
      <c r="M48" s="100"/>
      <c r="N48" s="107">
        <f t="shared" si="17"/>
        <v>53</v>
      </c>
      <c r="O48" s="107">
        <f t="shared" si="18"/>
        <v>88</v>
      </c>
      <c r="P48" s="108">
        <f t="shared" si="19"/>
        <v>0.60227272727272729</v>
      </c>
      <c r="Q48" s="324"/>
      <c r="R48" s="325"/>
      <c r="S48" s="325"/>
      <c r="T48" s="326"/>
      <c r="U48" s="111"/>
      <c r="V48" s="488" t="s">
        <v>311</v>
      </c>
      <c r="W48" s="489"/>
      <c r="X48" s="117">
        <f t="shared" si="20"/>
        <v>18</v>
      </c>
      <c r="Y48" s="107">
        <f t="shared" si="21"/>
        <v>71</v>
      </c>
      <c r="Z48" s="108">
        <f t="shared" si="22"/>
        <v>0.25352112676056338</v>
      </c>
      <c r="AA48" s="100"/>
      <c r="AB48" s="107">
        <f t="shared" si="23"/>
        <v>53</v>
      </c>
      <c r="AC48" s="107">
        <f t="shared" si="24"/>
        <v>89</v>
      </c>
      <c r="AD48" s="109">
        <f t="shared" si="25"/>
        <v>0.5955056179775281</v>
      </c>
    </row>
    <row r="49" spans="1:30" ht="15" thickBot="1" x14ac:dyDescent="0.4">
      <c r="A49" s="95"/>
      <c r="B49" s="96" t="s">
        <v>59</v>
      </c>
      <c r="C49" s="152">
        <f>COUNTIFS('Données brutes'!F:F,"But",'Données brutes'!E:E,"ALIX",'Données brutes'!G:G,"Jet 7m")</f>
        <v>3</v>
      </c>
      <c r="D49" s="90">
        <f>COUNTIFS('Données brutes'!F:F,"Ar GB",'Données brutes'!E:E,"ALIX",'Données brutes'!G:G,"Jet 7m")</f>
        <v>0</v>
      </c>
      <c r="E49" s="90">
        <f>COUNTIFS('Données brutes'!F:F,"HC",'Données brutes'!E:E,"ALIX",'Données brutes'!G:G,"Jet 7m")</f>
        <v>0</v>
      </c>
      <c r="F49" s="90">
        <f>COUNTIFS('Données brutes'!F:F,"Arret NC",'Données brutes'!E:E,"ALIX",'Données brutes'!G:G,"Jet 7m")</f>
        <v>0</v>
      </c>
      <c r="G49" s="111"/>
      <c r="H49" s="95"/>
      <c r="I49" s="96" t="s">
        <v>59</v>
      </c>
      <c r="J49" s="117">
        <f t="shared" si="14"/>
        <v>0</v>
      </c>
      <c r="K49" s="107">
        <f t="shared" si="15"/>
        <v>3</v>
      </c>
      <c r="L49" s="108">
        <f t="shared" si="16"/>
        <v>0</v>
      </c>
      <c r="M49" s="100"/>
      <c r="N49" s="107">
        <f t="shared" si="17"/>
        <v>3</v>
      </c>
      <c r="O49" s="107">
        <f t="shared" si="18"/>
        <v>3</v>
      </c>
      <c r="P49" s="108">
        <f t="shared" si="19"/>
        <v>1</v>
      </c>
      <c r="Q49" s="324"/>
      <c r="R49" s="325"/>
      <c r="S49" s="325"/>
      <c r="T49" s="326"/>
      <c r="U49" s="111"/>
      <c r="V49" s="95"/>
      <c r="W49" s="96" t="s">
        <v>59</v>
      </c>
      <c r="X49" s="117">
        <f t="shared" si="20"/>
        <v>0</v>
      </c>
      <c r="Y49" s="107">
        <f t="shared" si="21"/>
        <v>3</v>
      </c>
      <c r="Z49" s="108">
        <f t="shared" si="22"/>
        <v>0</v>
      </c>
      <c r="AA49" s="100"/>
      <c r="AB49" s="107">
        <f t="shared" si="23"/>
        <v>3</v>
      </c>
      <c r="AC49" s="107">
        <f t="shared" si="24"/>
        <v>3</v>
      </c>
      <c r="AD49" s="109">
        <f t="shared" si="25"/>
        <v>1</v>
      </c>
    </row>
    <row r="50" spans="1:30" ht="15" thickBot="1" x14ac:dyDescent="0.4">
      <c r="A50" s="488" t="s">
        <v>312</v>
      </c>
      <c r="B50" s="489"/>
      <c r="C50" s="156">
        <f>C48+C49</f>
        <v>56</v>
      </c>
      <c r="D50" s="156">
        <f t="shared" ref="D50" si="27">D48+D49</f>
        <v>17</v>
      </c>
      <c r="E50" s="156">
        <f t="shared" ref="E50" si="28">E48+E49</f>
        <v>18</v>
      </c>
      <c r="F50" s="156">
        <f t="shared" ref="F50" si="29">F48+F49</f>
        <v>1</v>
      </c>
      <c r="G50" s="111"/>
      <c r="H50" s="488" t="s">
        <v>312</v>
      </c>
      <c r="I50" s="489"/>
      <c r="J50" s="117">
        <f t="shared" si="14"/>
        <v>17</v>
      </c>
      <c r="K50" s="107">
        <f t="shared" si="15"/>
        <v>73</v>
      </c>
      <c r="L50" s="108">
        <f t="shared" si="16"/>
        <v>0.23287671232876711</v>
      </c>
      <c r="M50" s="100"/>
      <c r="N50" s="107">
        <f t="shared" si="17"/>
        <v>56</v>
      </c>
      <c r="O50" s="107">
        <f t="shared" si="18"/>
        <v>91</v>
      </c>
      <c r="P50" s="108">
        <f t="shared" si="19"/>
        <v>0.61538461538461542</v>
      </c>
      <c r="Q50" s="327"/>
      <c r="R50" s="328"/>
      <c r="S50" s="328"/>
      <c r="T50" s="329"/>
      <c r="U50" s="111"/>
      <c r="V50" s="488" t="s">
        <v>312</v>
      </c>
      <c r="W50" s="489"/>
      <c r="X50" s="117">
        <f t="shared" si="20"/>
        <v>18</v>
      </c>
      <c r="Y50" s="107">
        <f t="shared" si="21"/>
        <v>74</v>
      </c>
      <c r="Z50" s="108">
        <f t="shared" si="22"/>
        <v>0.24324324324324326</v>
      </c>
      <c r="AA50" s="100"/>
      <c r="AB50" s="107">
        <f t="shared" si="23"/>
        <v>56</v>
      </c>
      <c r="AC50" s="107">
        <f t="shared" si="24"/>
        <v>92</v>
      </c>
      <c r="AD50" s="109">
        <f t="shared" si="25"/>
        <v>0.60869565217391308</v>
      </c>
    </row>
    <row r="52" spans="1:30" ht="21" x14ac:dyDescent="0.35">
      <c r="A52" s="500" t="s">
        <v>438</v>
      </c>
      <c r="B52" s="501"/>
      <c r="C52" s="501"/>
      <c r="D52" s="501"/>
      <c r="E52" s="501"/>
      <c r="F52" s="501"/>
      <c r="G52" s="501"/>
      <c r="H52" s="501"/>
      <c r="I52" s="501"/>
      <c r="J52" s="501"/>
      <c r="K52" s="501"/>
      <c r="L52" s="501"/>
      <c r="M52" s="501"/>
      <c r="N52" s="501"/>
      <c r="O52" s="501"/>
      <c r="P52" s="501"/>
      <c r="Q52" s="501"/>
      <c r="R52" s="501"/>
      <c r="S52" s="501"/>
      <c r="T52" s="501"/>
      <c r="U52" s="501"/>
      <c r="V52" s="501"/>
      <c r="W52" s="501"/>
      <c r="X52" s="501"/>
      <c r="Y52" s="501"/>
      <c r="Z52" s="501"/>
      <c r="AA52" s="501"/>
      <c r="AB52" s="501"/>
      <c r="AC52" s="501"/>
      <c r="AD52" s="501"/>
    </row>
    <row r="53" spans="1:30" ht="21.5" thickBot="1" x14ac:dyDescent="0.4">
      <c r="A53" s="502" t="s">
        <v>363</v>
      </c>
      <c r="B53" s="502"/>
      <c r="C53" s="502"/>
      <c r="D53" s="502"/>
      <c r="E53" s="502"/>
      <c r="F53" s="503"/>
      <c r="G53" s="98"/>
      <c r="H53" s="504" t="s">
        <v>149</v>
      </c>
      <c r="I53" s="504"/>
      <c r="J53" s="505" t="s">
        <v>328</v>
      </c>
      <c r="K53" s="505"/>
      <c r="L53" s="505"/>
      <c r="M53" s="99"/>
      <c r="N53" s="505" t="s">
        <v>329</v>
      </c>
      <c r="O53" s="505"/>
      <c r="P53" s="505"/>
      <c r="Q53" s="240"/>
      <c r="R53" s="240"/>
      <c r="S53" s="240"/>
      <c r="T53" s="240"/>
      <c r="U53" s="98"/>
      <c r="V53" s="504" t="s">
        <v>330</v>
      </c>
      <c r="W53" s="504"/>
      <c r="X53" s="505" t="s">
        <v>328</v>
      </c>
      <c r="Y53" s="505"/>
      <c r="Z53" s="505"/>
      <c r="AA53" s="99"/>
      <c r="AB53" s="505" t="s">
        <v>329</v>
      </c>
      <c r="AC53" s="505"/>
      <c r="AD53" s="505"/>
    </row>
    <row r="54" spans="1:30" ht="44" thickBot="1" x14ac:dyDescent="0.4">
      <c r="A54" s="488" t="s">
        <v>5</v>
      </c>
      <c r="B54" s="489"/>
      <c r="C54" s="110" t="s">
        <v>33</v>
      </c>
      <c r="D54" s="88" t="s">
        <v>20</v>
      </c>
      <c r="E54" s="88" t="s">
        <v>10</v>
      </c>
      <c r="F54" s="88" t="s">
        <v>280</v>
      </c>
      <c r="G54" s="111"/>
      <c r="H54" s="488" t="s">
        <v>5</v>
      </c>
      <c r="I54" s="489"/>
      <c r="J54" s="110" t="s">
        <v>20</v>
      </c>
      <c r="K54" s="88" t="s">
        <v>327</v>
      </c>
      <c r="L54" s="88" t="s">
        <v>148</v>
      </c>
      <c r="M54" s="100"/>
      <c r="N54" s="88" t="s">
        <v>11</v>
      </c>
      <c r="O54" s="88" t="s">
        <v>326</v>
      </c>
      <c r="P54" s="88" t="s">
        <v>147</v>
      </c>
      <c r="Q54" s="310"/>
      <c r="R54" s="320" t="s">
        <v>33</v>
      </c>
      <c r="S54" s="320" t="s">
        <v>326</v>
      </c>
      <c r="T54" s="321" t="s">
        <v>150</v>
      </c>
      <c r="U54" s="111"/>
      <c r="V54" s="488" t="s">
        <v>5</v>
      </c>
      <c r="W54" s="489"/>
      <c r="X54" s="110" t="s">
        <v>20</v>
      </c>
      <c r="Y54" s="88" t="s">
        <v>331</v>
      </c>
      <c r="Z54" s="88" t="s">
        <v>148</v>
      </c>
      <c r="AA54" s="100"/>
      <c r="AB54" s="88" t="s">
        <v>11</v>
      </c>
      <c r="AC54" s="88" t="s">
        <v>326</v>
      </c>
      <c r="AD54" s="89" t="s">
        <v>147</v>
      </c>
    </row>
    <row r="55" spans="1:30" ht="15" thickBot="1" x14ac:dyDescent="0.4">
      <c r="A55" s="407" t="s">
        <v>295</v>
      </c>
      <c r="B55" s="32" t="s">
        <v>15</v>
      </c>
      <c r="C55" s="152">
        <f>COUNTIFS('Données brutes'!F:F,"But",'Données brutes'!E:E,"HABI",'Données brutes'!G:G,"ALG")</f>
        <v>0</v>
      </c>
      <c r="D55" s="90">
        <f>COUNTIFS('Données brutes'!F:F,"Ar GB",'Données brutes'!E:E,"HABI",'Données brutes'!G:G,"ALG")</f>
        <v>0</v>
      </c>
      <c r="E55" s="90">
        <f>COUNTIFS('Données brutes'!F:F,"HC",'Données brutes'!E:E,"HABI",'Données brutes'!G:G,"ALG")</f>
        <v>0</v>
      </c>
      <c r="F55" s="90">
        <f>COUNTIFS('Données brutes'!F:F,"Arret NC",'Données brutes'!E:E,"HABI",'Données brutes'!G:G,"ALG")</f>
        <v>0</v>
      </c>
      <c r="G55" s="112"/>
      <c r="H55" s="407" t="s">
        <v>295</v>
      </c>
      <c r="I55" s="32" t="s">
        <v>15</v>
      </c>
      <c r="J55" s="115">
        <f>$D55</f>
        <v>0</v>
      </c>
      <c r="K55" s="102">
        <f>$C55+$D55</f>
        <v>0</v>
      </c>
      <c r="L55" s="103" t="e">
        <f>J55/K55</f>
        <v>#DIV/0!</v>
      </c>
      <c r="M55" s="101"/>
      <c r="N55" s="102">
        <f>$C55</f>
        <v>0</v>
      </c>
      <c r="O55" s="102">
        <f>$C55+$D55+$E55</f>
        <v>0</v>
      </c>
      <c r="P55" s="103" t="e">
        <f>N55/O55</f>
        <v>#DIV/0!</v>
      </c>
      <c r="Q55" s="404" t="s">
        <v>295</v>
      </c>
      <c r="R55" s="496" t="s">
        <v>394</v>
      </c>
      <c r="S55" s="496"/>
      <c r="T55" s="497"/>
      <c r="U55" s="112"/>
      <c r="V55" s="407" t="s">
        <v>295</v>
      </c>
      <c r="W55" s="32" t="s">
        <v>15</v>
      </c>
      <c r="X55" s="115">
        <f>$D55+$F55</f>
        <v>0</v>
      </c>
      <c r="Y55" s="102">
        <f>$C55+$D55+$F55</f>
        <v>0</v>
      </c>
      <c r="Z55" s="103" t="e">
        <f>X55/Y55</f>
        <v>#DIV/0!</v>
      </c>
      <c r="AA55" s="101"/>
      <c r="AB55" s="102">
        <f>$C55</f>
        <v>0</v>
      </c>
      <c r="AC55" s="102">
        <f>C55+D55+F55+E55</f>
        <v>0</v>
      </c>
      <c r="AD55" s="104" t="e">
        <f>AB55/AC55</f>
        <v>#DIV/0!</v>
      </c>
    </row>
    <row r="56" spans="1:30" ht="15" thickBot="1" x14ac:dyDescent="0.4">
      <c r="A56" s="404"/>
      <c r="B56" s="33" t="s">
        <v>282</v>
      </c>
      <c r="C56" s="153">
        <f>COUNTIFS('Données brutes'!F:F,"But",'Données brutes'!E:E,"HABI",'Données brutes'!G:G,"1 2")</f>
        <v>0</v>
      </c>
      <c r="D56" s="61">
        <f>COUNTIFS('Données brutes'!F:F,"Ar GB",'Données brutes'!E:E,"HABI",'Données brutes'!G:G,"1 2")</f>
        <v>0</v>
      </c>
      <c r="E56" s="61">
        <f>COUNTIFS('Données brutes'!F:F,"HC",'Données brutes'!E:E,"HABI",'Données brutes'!G:G,"1 2")</f>
        <v>0</v>
      </c>
      <c r="F56" s="90">
        <f>COUNTIFS('Données brutes'!F:F,"Arret NC",'Données brutes'!E:E,"HABI",'Données brutes'!G:G,"1 2")</f>
        <v>0</v>
      </c>
      <c r="G56" s="113"/>
      <c r="H56" s="404"/>
      <c r="I56" s="33" t="s">
        <v>282</v>
      </c>
      <c r="J56" s="31">
        <f t="shared" ref="J56:J75" si="30">$D56</f>
        <v>0</v>
      </c>
      <c r="K56" s="12">
        <f t="shared" ref="K56:K75" si="31">$C56+$D56</f>
        <v>0</v>
      </c>
      <c r="L56" s="27" t="e">
        <f t="shared" ref="L56:L75" si="32">J56/K56</f>
        <v>#DIV/0!</v>
      </c>
      <c r="M56" s="97"/>
      <c r="N56" s="12">
        <f t="shared" ref="N56:N75" si="33">$C56</f>
        <v>0</v>
      </c>
      <c r="O56" s="12">
        <f t="shared" ref="O56:O75" si="34">$C56+$D56+$E56</f>
        <v>0</v>
      </c>
      <c r="P56" s="27" t="e">
        <f t="shared" ref="P56:P75" si="35">N56/O56</f>
        <v>#DIV/0!</v>
      </c>
      <c r="Q56" s="404"/>
      <c r="R56" s="319">
        <f>N55+N61</f>
        <v>0</v>
      </c>
      <c r="S56" s="319">
        <f>O55+O61</f>
        <v>0</v>
      </c>
      <c r="T56" s="322" t="e">
        <f>R56/S56</f>
        <v>#DIV/0!</v>
      </c>
      <c r="U56" s="113"/>
      <c r="V56" s="404"/>
      <c r="W56" s="33" t="s">
        <v>282</v>
      </c>
      <c r="X56" s="31">
        <f t="shared" ref="X56:X75" si="36">$D56+$F56</f>
        <v>0</v>
      </c>
      <c r="Y56" s="12">
        <f t="shared" ref="Y56:Y75" si="37">$C56+$D56+$F56</f>
        <v>0</v>
      </c>
      <c r="Z56" s="27" t="e">
        <f t="shared" ref="Z56:Z75" si="38">X56/Y56</f>
        <v>#DIV/0!</v>
      </c>
      <c r="AA56" s="97"/>
      <c r="AB56" s="12">
        <f t="shared" ref="AB56:AB75" si="39">$C56</f>
        <v>0</v>
      </c>
      <c r="AC56" s="12">
        <f t="shared" ref="AC56:AC75" si="40">C56+D56+F56+E56</f>
        <v>0</v>
      </c>
      <c r="AD56" s="34" t="e">
        <f t="shared" ref="AD56:AD75" si="41">AB56/AC56</f>
        <v>#DIV/0!</v>
      </c>
    </row>
    <row r="57" spans="1:30" ht="15" thickBot="1" x14ac:dyDescent="0.4">
      <c r="A57" s="404"/>
      <c r="B57" s="33" t="s">
        <v>297</v>
      </c>
      <c r="C57" s="153">
        <f>COUNTIFS('Données brutes'!F:F,"But",'Données brutes'!E:E,"HABI",'Données brutes'!G:G,"2 3")</f>
        <v>0</v>
      </c>
      <c r="D57" s="61">
        <f>COUNTIFS('Données brutes'!F:F,"Ar GB",'Données brutes'!E:E,"HABI",'Données brutes'!G:G,"2 3")</f>
        <v>0</v>
      </c>
      <c r="E57" s="61">
        <f>COUNTIFS('Données brutes'!F:F,"HC",'Données brutes'!E:E,"HABI",'Données brutes'!G:G,"2 3")</f>
        <v>0</v>
      </c>
      <c r="F57" s="90">
        <f>COUNTIFS('Données brutes'!F:F,"Arret NC",'Données brutes'!E:E,"HABI",'Données brutes'!G:G,"2 3")</f>
        <v>0</v>
      </c>
      <c r="G57" s="113"/>
      <c r="H57" s="404"/>
      <c r="I57" s="33" t="s">
        <v>297</v>
      </c>
      <c r="J57" s="31">
        <f t="shared" si="30"/>
        <v>0</v>
      </c>
      <c r="K57" s="12">
        <f t="shared" si="31"/>
        <v>0</v>
      </c>
      <c r="L57" s="27" t="e">
        <f t="shared" si="32"/>
        <v>#DIV/0!</v>
      </c>
      <c r="M57" s="97"/>
      <c r="N57" s="12">
        <f t="shared" si="33"/>
        <v>0</v>
      </c>
      <c r="O57" s="12">
        <f t="shared" si="34"/>
        <v>0</v>
      </c>
      <c r="P57" s="27" t="e">
        <f t="shared" si="35"/>
        <v>#DIV/0!</v>
      </c>
      <c r="Q57" s="404"/>
      <c r="R57" s="498" t="s">
        <v>395</v>
      </c>
      <c r="S57" s="498"/>
      <c r="T57" s="499"/>
      <c r="U57" s="113"/>
      <c r="V57" s="404"/>
      <c r="W57" s="33" t="s">
        <v>297</v>
      </c>
      <c r="X57" s="31">
        <f t="shared" si="36"/>
        <v>0</v>
      </c>
      <c r="Y57" s="12">
        <f t="shared" si="37"/>
        <v>0</v>
      </c>
      <c r="Z57" s="27" t="e">
        <f t="shared" si="38"/>
        <v>#DIV/0!</v>
      </c>
      <c r="AA57" s="97"/>
      <c r="AB57" s="12">
        <f t="shared" si="39"/>
        <v>0</v>
      </c>
      <c r="AC57" s="12">
        <f t="shared" si="40"/>
        <v>0</v>
      </c>
      <c r="AD57" s="34" t="e">
        <f t="shared" si="41"/>
        <v>#DIV/0!</v>
      </c>
    </row>
    <row r="58" spans="1:30" ht="15" thickBot="1" x14ac:dyDescent="0.4">
      <c r="A58" s="404"/>
      <c r="B58" s="33" t="s">
        <v>296</v>
      </c>
      <c r="C58" s="153">
        <f>COUNTIFS('Données brutes'!F:F,"But",'Données brutes'!E:E,"HABI",'Données brutes'!G:G,"3 4")</f>
        <v>0</v>
      </c>
      <c r="D58" s="61">
        <f>COUNTIFS('Données brutes'!F:F,"Ar GB",'Données brutes'!E:E,"HABI",'Données brutes'!G:G,"3 4")</f>
        <v>0</v>
      </c>
      <c r="E58" s="61">
        <f>COUNTIFS('Données brutes'!F:F,"HC",'Données brutes'!E:E,"HABI",'Données brutes'!G:G,"3 4")</f>
        <v>0</v>
      </c>
      <c r="F58" s="90">
        <f>COUNTIFS('Données brutes'!F:F,"Arret NC",'Données brutes'!E:E,"HABI",'Données brutes'!G:G,"3 4")</f>
        <v>0</v>
      </c>
      <c r="G58" s="113"/>
      <c r="H58" s="404"/>
      <c r="I58" s="33" t="s">
        <v>296</v>
      </c>
      <c r="J58" s="31">
        <f t="shared" si="30"/>
        <v>0</v>
      </c>
      <c r="K58" s="12">
        <f t="shared" si="31"/>
        <v>0</v>
      </c>
      <c r="L58" s="27" t="e">
        <f t="shared" si="32"/>
        <v>#DIV/0!</v>
      </c>
      <c r="M58" s="97"/>
      <c r="N58" s="12">
        <f t="shared" si="33"/>
        <v>0</v>
      </c>
      <c r="O58" s="12">
        <f t="shared" si="34"/>
        <v>0</v>
      </c>
      <c r="P58" s="27" t="e">
        <f t="shared" si="35"/>
        <v>#DIV/0!</v>
      </c>
      <c r="Q58" s="404"/>
      <c r="R58" s="319">
        <f>N56+N60</f>
        <v>0</v>
      </c>
      <c r="S58" s="319">
        <f>O56+O60</f>
        <v>0</v>
      </c>
      <c r="T58" s="323" t="e">
        <f>R58/S58</f>
        <v>#DIV/0!</v>
      </c>
      <c r="U58" s="113"/>
      <c r="V58" s="404"/>
      <c r="W58" s="33" t="s">
        <v>296</v>
      </c>
      <c r="X58" s="31">
        <f t="shared" si="36"/>
        <v>0</v>
      </c>
      <c r="Y58" s="12">
        <f t="shared" si="37"/>
        <v>0</v>
      </c>
      <c r="Z58" s="27" t="e">
        <f t="shared" si="38"/>
        <v>#DIV/0!</v>
      </c>
      <c r="AA58" s="97"/>
      <c r="AB58" s="12">
        <f t="shared" si="39"/>
        <v>0</v>
      </c>
      <c r="AC58" s="12">
        <f t="shared" si="40"/>
        <v>0</v>
      </c>
      <c r="AD58" s="34" t="e">
        <f t="shared" si="41"/>
        <v>#DIV/0!</v>
      </c>
    </row>
    <row r="59" spans="1:30" ht="15" thickBot="1" x14ac:dyDescent="0.4">
      <c r="A59" s="404"/>
      <c r="B59" s="33" t="s">
        <v>298</v>
      </c>
      <c r="C59" s="153">
        <f>COUNTIFS('Données brutes'!F:F,"But",'Données brutes'!E:E,"HABI",'Données brutes'!G:G,"4 5")</f>
        <v>0</v>
      </c>
      <c r="D59" s="61">
        <f>COUNTIFS('Données brutes'!F:F,"Ar GB",'Données brutes'!E:E,"HABI",'Données brutes'!G:G,"4 5")</f>
        <v>0</v>
      </c>
      <c r="E59" s="61">
        <f>COUNTIFS('Données brutes'!F:F,"HC",'Données brutes'!E:E,"HABI",'Données brutes'!G:G,"4 5")</f>
        <v>0</v>
      </c>
      <c r="F59" s="90">
        <f>COUNTIFS('Données brutes'!F:F,"Arret NC",'Données brutes'!E:E,"HABI",'Données brutes'!G:G,"4 5")</f>
        <v>0</v>
      </c>
      <c r="G59" s="113"/>
      <c r="H59" s="404"/>
      <c r="I59" s="33" t="s">
        <v>298</v>
      </c>
      <c r="J59" s="31">
        <f t="shared" si="30"/>
        <v>0</v>
      </c>
      <c r="K59" s="12">
        <f t="shared" si="31"/>
        <v>0</v>
      </c>
      <c r="L59" s="27" t="e">
        <f t="shared" si="32"/>
        <v>#DIV/0!</v>
      </c>
      <c r="M59" s="97"/>
      <c r="N59" s="12">
        <f t="shared" si="33"/>
        <v>0</v>
      </c>
      <c r="O59" s="12">
        <f t="shared" si="34"/>
        <v>0</v>
      </c>
      <c r="P59" s="27" t="e">
        <f t="shared" si="35"/>
        <v>#DIV/0!</v>
      </c>
      <c r="Q59" s="404"/>
      <c r="R59" s="498" t="s">
        <v>396</v>
      </c>
      <c r="S59" s="498"/>
      <c r="T59" s="499"/>
      <c r="U59" s="113"/>
      <c r="V59" s="404"/>
      <c r="W59" s="33" t="s">
        <v>298</v>
      </c>
      <c r="X59" s="31">
        <f t="shared" si="36"/>
        <v>0</v>
      </c>
      <c r="Y59" s="12">
        <f t="shared" si="37"/>
        <v>0</v>
      </c>
      <c r="Z59" s="27" t="e">
        <f t="shared" si="38"/>
        <v>#DIV/0!</v>
      </c>
      <c r="AA59" s="97"/>
      <c r="AB59" s="12">
        <f t="shared" si="39"/>
        <v>0</v>
      </c>
      <c r="AC59" s="12">
        <f t="shared" si="40"/>
        <v>0</v>
      </c>
      <c r="AD59" s="34" t="e">
        <f t="shared" si="41"/>
        <v>#DIV/0!</v>
      </c>
    </row>
    <row r="60" spans="1:30" ht="15" thickBot="1" x14ac:dyDescent="0.4">
      <c r="A60" s="404"/>
      <c r="B60" s="33" t="s">
        <v>283</v>
      </c>
      <c r="C60" s="153">
        <f>COUNTIFS('Données brutes'!F:F,"But",'Données brutes'!E:E,"HABI",'Données brutes'!G:G,"5 6")</f>
        <v>0</v>
      </c>
      <c r="D60" s="61">
        <f>COUNTIFS('Données brutes'!F:F,"Ar GB",'Données brutes'!E:E,"HABI",'Données brutes'!G:G,"5 6")</f>
        <v>0</v>
      </c>
      <c r="E60" s="61">
        <f>COUNTIFS('Données brutes'!F:F,"HC",'Données brutes'!E:E,"HABI",'Données brutes'!G:G,"5 6")</f>
        <v>0</v>
      </c>
      <c r="F60" s="90">
        <f>COUNTIFS('Données brutes'!F:F,"Arret NC",'Données brutes'!E:E,"HABI",'Données brutes'!G:G,"5 6")</f>
        <v>0</v>
      </c>
      <c r="G60" s="113"/>
      <c r="H60" s="404"/>
      <c r="I60" s="33" t="s">
        <v>283</v>
      </c>
      <c r="J60" s="31">
        <f t="shared" si="30"/>
        <v>0</v>
      </c>
      <c r="K60" s="12">
        <f t="shared" si="31"/>
        <v>0</v>
      </c>
      <c r="L60" s="27" t="e">
        <f t="shared" si="32"/>
        <v>#DIV/0!</v>
      </c>
      <c r="M60" s="97"/>
      <c r="N60" s="12">
        <f t="shared" si="33"/>
        <v>0</v>
      </c>
      <c r="O60" s="12">
        <f t="shared" si="34"/>
        <v>0</v>
      </c>
      <c r="P60" s="27" t="e">
        <f t="shared" si="35"/>
        <v>#DIV/0!</v>
      </c>
      <c r="Q60" s="404"/>
      <c r="R60" s="319">
        <f>N57+N58+N59</f>
        <v>0</v>
      </c>
      <c r="S60" s="319">
        <f>O57+O58+O59</f>
        <v>0</v>
      </c>
      <c r="T60" s="323" t="e">
        <f>R60/S60</f>
        <v>#DIV/0!</v>
      </c>
      <c r="U60" s="113"/>
      <c r="V60" s="404"/>
      <c r="W60" s="33" t="s">
        <v>283</v>
      </c>
      <c r="X60" s="31">
        <f t="shared" si="36"/>
        <v>0</v>
      </c>
      <c r="Y60" s="12">
        <f t="shared" si="37"/>
        <v>0</v>
      </c>
      <c r="Z60" s="27" t="e">
        <f t="shared" si="38"/>
        <v>#DIV/0!</v>
      </c>
      <c r="AA60" s="97"/>
      <c r="AB60" s="12">
        <f t="shared" si="39"/>
        <v>0</v>
      </c>
      <c r="AC60" s="12">
        <f t="shared" si="40"/>
        <v>0</v>
      </c>
      <c r="AD60" s="34" t="e">
        <f t="shared" si="41"/>
        <v>#DIV/0!</v>
      </c>
    </row>
    <row r="61" spans="1:30" ht="15" thickBot="1" x14ac:dyDescent="0.4">
      <c r="A61" s="490"/>
      <c r="B61" s="73" t="s">
        <v>17</v>
      </c>
      <c r="C61" s="154">
        <f>COUNTIFS('Données brutes'!F:F,"But",'Données brutes'!E:E,"HABI",'Données brutes'!G:G,"ALD")</f>
        <v>0</v>
      </c>
      <c r="D61" s="155">
        <f>COUNTIFS('Données brutes'!F:F,"Ar GB",'Données brutes'!E:E,"HABI",'Données brutes'!G:G,"ALD")</f>
        <v>0</v>
      </c>
      <c r="E61" s="155">
        <f>COUNTIFS('Données brutes'!F:F,"HC",'Données brutes'!E:E,"HABI",'Données brutes'!G:G,"ALD")</f>
        <v>0</v>
      </c>
      <c r="F61" s="90">
        <f>COUNTIFS('Données brutes'!F:F,"Arret NC",'Données brutes'!E:E,"HABI",'Données brutes'!G:G,"ALD")</f>
        <v>0</v>
      </c>
      <c r="G61" s="114"/>
      <c r="H61" s="490"/>
      <c r="I61" s="73" t="s">
        <v>17</v>
      </c>
      <c r="J61" s="116">
        <f t="shared" si="30"/>
        <v>0</v>
      </c>
      <c r="K61" s="14">
        <f t="shared" si="31"/>
        <v>0</v>
      </c>
      <c r="L61" s="106" t="e">
        <f t="shared" si="32"/>
        <v>#DIV/0!</v>
      </c>
      <c r="M61" s="105"/>
      <c r="N61" s="14">
        <f t="shared" si="33"/>
        <v>0</v>
      </c>
      <c r="O61" s="14">
        <f t="shared" si="34"/>
        <v>0</v>
      </c>
      <c r="P61" s="106" t="e">
        <f t="shared" si="35"/>
        <v>#DIV/0!</v>
      </c>
      <c r="Q61" s="404"/>
      <c r="R61" s="325"/>
      <c r="S61" s="325"/>
      <c r="T61" s="326"/>
      <c r="U61" s="114"/>
      <c r="V61" s="490"/>
      <c r="W61" s="73" t="s">
        <v>17</v>
      </c>
      <c r="X61" s="116">
        <f t="shared" si="36"/>
        <v>0</v>
      </c>
      <c r="Y61" s="14">
        <f t="shared" si="37"/>
        <v>0</v>
      </c>
      <c r="Z61" s="106" t="e">
        <f t="shared" si="38"/>
        <v>#DIV/0!</v>
      </c>
      <c r="AA61" s="105"/>
      <c r="AB61" s="14">
        <f t="shared" si="39"/>
        <v>0</v>
      </c>
      <c r="AC61" s="14">
        <f t="shared" si="40"/>
        <v>0</v>
      </c>
      <c r="AD61" s="37" t="e">
        <f t="shared" si="41"/>
        <v>#DIV/0!</v>
      </c>
    </row>
    <row r="62" spans="1:30" ht="15" customHeight="1" thickBot="1" x14ac:dyDescent="0.4">
      <c r="A62" s="491" t="s">
        <v>299</v>
      </c>
      <c r="B62" s="32" t="s">
        <v>301</v>
      </c>
      <c r="C62" s="152">
        <f>COUNTIFS('Données brutes'!F:F,"But",'Données brutes'!E:E,"HABI",'Données brutes'!G:G,"Central 7m 9m appui")</f>
        <v>0</v>
      </c>
      <c r="D62" s="90">
        <f>COUNTIFS('Données brutes'!F:F,"Ar GB",'Données brutes'!E:E,"HABI",'Données brutes'!G:G,"Central 7m 9m appui")</f>
        <v>0</v>
      </c>
      <c r="E62" s="90">
        <f>COUNTIFS('Données brutes'!F:F,"HC",'Données brutes'!E:E,"HABI",'Données brutes'!G:G,"Central 7m 9m appui")</f>
        <v>0</v>
      </c>
      <c r="F62" s="90">
        <f>COUNTIFS('Données brutes'!F:F,"Arret NC",'Données brutes'!E:E,"HABI",'Données brutes'!G:G,"ALD")</f>
        <v>0</v>
      </c>
      <c r="G62" s="112"/>
      <c r="H62" s="491" t="s">
        <v>299</v>
      </c>
      <c r="I62" s="32" t="s">
        <v>301</v>
      </c>
      <c r="J62" s="115">
        <f t="shared" si="30"/>
        <v>0</v>
      </c>
      <c r="K62" s="102">
        <f t="shared" si="31"/>
        <v>0</v>
      </c>
      <c r="L62" s="103" t="e">
        <f t="shared" si="32"/>
        <v>#DIV/0!</v>
      </c>
      <c r="M62" s="101"/>
      <c r="N62" s="102">
        <f t="shared" si="33"/>
        <v>0</v>
      </c>
      <c r="O62" s="102">
        <f t="shared" si="34"/>
        <v>0</v>
      </c>
      <c r="P62" s="103" t="e">
        <f t="shared" si="35"/>
        <v>#DIV/0!</v>
      </c>
      <c r="Q62" s="495" t="s">
        <v>299</v>
      </c>
      <c r="R62" s="319">
        <f>SUM(N62:N64)</f>
        <v>0</v>
      </c>
      <c r="S62" s="319">
        <f>SUM(O62:O64)</f>
        <v>0</v>
      </c>
      <c r="T62" s="322" t="e">
        <f>R62/S62</f>
        <v>#DIV/0!</v>
      </c>
      <c r="U62" s="112"/>
      <c r="V62" s="491" t="s">
        <v>299</v>
      </c>
      <c r="W62" s="32" t="s">
        <v>301</v>
      </c>
      <c r="X62" s="115">
        <f t="shared" si="36"/>
        <v>0</v>
      </c>
      <c r="Y62" s="102">
        <f t="shared" si="37"/>
        <v>0</v>
      </c>
      <c r="Z62" s="103" t="e">
        <f t="shared" si="38"/>
        <v>#DIV/0!</v>
      </c>
      <c r="AA62" s="101"/>
      <c r="AB62" s="102">
        <f t="shared" si="39"/>
        <v>0</v>
      </c>
      <c r="AC62" s="102">
        <f t="shared" si="40"/>
        <v>0</v>
      </c>
      <c r="AD62" s="104" t="e">
        <f t="shared" si="41"/>
        <v>#DIV/0!</v>
      </c>
    </row>
    <row r="63" spans="1:30" ht="15" thickBot="1" x14ac:dyDescent="0.4">
      <c r="A63" s="495"/>
      <c r="B63" s="33" t="s">
        <v>302</v>
      </c>
      <c r="C63" s="153">
        <f>COUNTIFS('Données brutes'!F:F,"But",'Données brutes'!E:E,"HABI",'Données brutes'!G:G,"7m 9m Ext G appui")</f>
        <v>0</v>
      </c>
      <c r="D63" s="61">
        <f>COUNTIFS('Données brutes'!F:F,"Ar GB",'Données brutes'!E:E,"HABI",'Données brutes'!G:G,"7m 9m Ext G appui")</f>
        <v>0</v>
      </c>
      <c r="E63" s="61">
        <f>COUNTIFS('Données brutes'!F:F,"HC",'Données brutes'!E:E,"HABI",'Données brutes'!G:G,"7m 9m Ext G appui")</f>
        <v>0</v>
      </c>
      <c r="F63" s="90">
        <f>COUNTIFS('Données brutes'!F:F,"Arret NC",'Données brutes'!E:E,"HABI",'Données brutes'!G:G,"7m 9m Ext G appui")</f>
        <v>0</v>
      </c>
      <c r="G63" s="113"/>
      <c r="H63" s="495"/>
      <c r="I63" s="33" t="s">
        <v>302</v>
      </c>
      <c r="J63" s="31">
        <f t="shared" si="30"/>
        <v>0</v>
      </c>
      <c r="K63" s="12">
        <f t="shared" si="31"/>
        <v>0</v>
      </c>
      <c r="L63" s="27" t="e">
        <f t="shared" si="32"/>
        <v>#DIV/0!</v>
      </c>
      <c r="M63" s="97"/>
      <c r="N63" s="12">
        <f t="shared" si="33"/>
        <v>0</v>
      </c>
      <c r="O63" s="12">
        <f t="shared" si="34"/>
        <v>0</v>
      </c>
      <c r="P63" s="27" t="e">
        <f t="shared" si="35"/>
        <v>#DIV/0!</v>
      </c>
      <c r="Q63" s="495"/>
      <c r="R63" s="325"/>
      <c r="S63" s="325"/>
      <c r="T63" s="326"/>
      <c r="U63" s="113"/>
      <c r="V63" s="495"/>
      <c r="W63" s="33" t="s">
        <v>302</v>
      </c>
      <c r="X63" s="31">
        <f t="shared" si="36"/>
        <v>0</v>
      </c>
      <c r="Y63" s="12">
        <f t="shared" si="37"/>
        <v>0</v>
      </c>
      <c r="Z63" s="27" t="e">
        <f t="shared" si="38"/>
        <v>#DIV/0!</v>
      </c>
      <c r="AA63" s="97"/>
      <c r="AB63" s="12">
        <f t="shared" si="39"/>
        <v>0</v>
      </c>
      <c r="AC63" s="12">
        <f t="shared" si="40"/>
        <v>0</v>
      </c>
      <c r="AD63" s="34" t="e">
        <f t="shared" si="41"/>
        <v>#DIV/0!</v>
      </c>
    </row>
    <row r="64" spans="1:30" ht="15" thickBot="1" x14ac:dyDescent="0.4">
      <c r="A64" s="492"/>
      <c r="B64" s="73" t="s">
        <v>303</v>
      </c>
      <c r="C64" s="154">
        <f>COUNTIFS('Données brutes'!F:F,"But",'Données brutes'!E:E,"HABI",'Données brutes'!G:G,"7m 9m Ext D appui")</f>
        <v>0</v>
      </c>
      <c r="D64" s="155">
        <f>COUNTIFS('Données brutes'!F:F,"Ar GB",'Données brutes'!E:E,"HABI",'Données brutes'!G:G,"7m 9m Ext D appui")</f>
        <v>0</v>
      </c>
      <c r="E64" s="155">
        <f>COUNTIFS('Données brutes'!F:F,"HC",'Données brutes'!E:E,"HABI",'Données brutes'!G:G,"7m 9m Ext D appui")</f>
        <v>0</v>
      </c>
      <c r="F64" s="90">
        <f>COUNTIFS('Données brutes'!F:F,"Arret NC",'Données brutes'!E:E,"HABI",'Données brutes'!G:G,"ALD")</f>
        <v>0</v>
      </c>
      <c r="G64" s="114"/>
      <c r="H64" s="492"/>
      <c r="I64" s="73" t="s">
        <v>303</v>
      </c>
      <c r="J64" s="116">
        <f t="shared" si="30"/>
        <v>0</v>
      </c>
      <c r="K64" s="14">
        <f t="shared" si="31"/>
        <v>0</v>
      </c>
      <c r="L64" s="106" t="e">
        <f t="shared" si="32"/>
        <v>#DIV/0!</v>
      </c>
      <c r="M64" s="105"/>
      <c r="N64" s="14">
        <f t="shared" si="33"/>
        <v>0</v>
      </c>
      <c r="O64" s="14">
        <f t="shared" si="34"/>
        <v>0</v>
      </c>
      <c r="P64" s="106" t="e">
        <f t="shared" si="35"/>
        <v>#DIV/0!</v>
      </c>
      <c r="Q64" s="495"/>
      <c r="R64" s="325"/>
      <c r="S64" s="325"/>
      <c r="T64" s="326"/>
      <c r="U64" s="114"/>
      <c r="V64" s="492"/>
      <c r="W64" s="73" t="s">
        <v>303</v>
      </c>
      <c r="X64" s="116">
        <f t="shared" si="36"/>
        <v>0</v>
      </c>
      <c r="Y64" s="14">
        <f t="shared" si="37"/>
        <v>0</v>
      </c>
      <c r="Z64" s="106" t="e">
        <f t="shared" si="38"/>
        <v>#DIV/0!</v>
      </c>
      <c r="AA64" s="105"/>
      <c r="AB64" s="14">
        <f t="shared" si="39"/>
        <v>0</v>
      </c>
      <c r="AC64" s="14">
        <f t="shared" si="40"/>
        <v>0</v>
      </c>
      <c r="AD64" s="37" t="e">
        <f t="shared" si="41"/>
        <v>#DIV/0!</v>
      </c>
    </row>
    <row r="65" spans="1:34" ht="15" customHeight="1" thickBot="1" x14ac:dyDescent="0.4">
      <c r="A65" s="491" t="s">
        <v>300</v>
      </c>
      <c r="B65" s="32" t="s">
        <v>304</v>
      </c>
      <c r="C65" s="152">
        <f>COUNTIFS('Données brutes'!F:F,"But",'Données brutes'!E:E,"HABI",'Données brutes'!G:G,"7m 9m central suspension")</f>
        <v>0</v>
      </c>
      <c r="D65" s="90">
        <f>COUNTIFS('Données brutes'!F:F,"Ar GB",'Données brutes'!E:E,"HABI",'Données brutes'!G:G,"7m 9m central suspension")</f>
        <v>0</v>
      </c>
      <c r="E65" s="90">
        <f>COUNTIFS('Données brutes'!F:F,"HC",'Données brutes'!E:E,"HABI",'Données brutes'!G:G,"7m 9m central suspension")</f>
        <v>0</v>
      </c>
      <c r="F65" s="90">
        <f>COUNTIFS('Données brutes'!F:F,"Arret NC",'Données brutes'!E:E,"HABI",'Données brutes'!G:G,"ALD")</f>
        <v>0</v>
      </c>
      <c r="G65" s="112"/>
      <c r="H65" s="491" t="s">
        <v>300</v>
      </c>
      <c r="I65" s="32" t="s">
        <v>304</v>
      </c>
      <c r="J65" s="115">
        <f t="shared" si="30"/>
        <v>0</v>
      </c>
      <c r="K65" s="102">
        <f t="shared" si="31"/>
        <v>0</v>
      </c>
      <c r="L65" s="103" t="e">
        <f t="shared" si="32"/>
        <v>#DIV/0!</v>
      </c>
      <c r="M65" s="101"/>
      <c r="N65" s="102">
        <f t="shared" si="33"/>
        <v>0</v>
      </c>
      <c r="O65" s="102">
        <f t="shared" si="34"/>
        <v>0</v>
      </c>
      <c r="P65" s="103" t="e">
        <f t="shared" si="35"/>
        <v>#DIV/0!</v>
      </c>
      <c r="Q65" s="495" t="s">
        <v>300</v>
      </c>
      <c r="R65" s="319">
        <f>SUM(N65:N67)</f>
        <v>0</v>
      </c>
      <c r="S65" s="319">
        <f>SUM(O65:O67)</f>
        <v>0</v>
      </c>
      <c r="T65" s="322" t="e">
        <f>R65/S65</f>
        <v>#DIV/0!</v>
      </c>
      <c r="U65" s="112"/>
      <c r="V65" s="491" t="s">
        <v>300</v>
      </c>
      <c r="W65" s="32" t="s">
        <v>304</v>
      </c>
      <c r="X65" s="115">
        <f t="shared" si="36"/>
        <v>0</v>
      </c>
      <c r="Y65" s="102">
        <f t="shared" si="37"/>
        <v>0</v>
      </c>
      <c r="Z65" s="103" t="e">
        <f t="shared" si="38"/>
        <v>#DIV/0!</v>
      </c>
      <c r="AA65" s="101"/>
      <c r="AB65" s="102">
        <f t="shared" si="39"/>
        <v>0</v>
      </c>
      <c r="AC65" s="102">
        <f t="shared" si="40"/>
        <v>0</v>
      </c>
      <c r="AD65" s="104" t="e">
        <f t="shared" si="41"/>
        <v>#DIV/0!</v>
      </c>
    </row>
    <row r="66" spans="1:34" ht="15" thickBot="1" x14ac:dyDescent="0.4">
      <c r="A66" s="495"/>
      <c r="B66" s="33" t="s">
        <v>305</v>
      </c>
      <c r="C66" s="153">
        <f>COUNTIFS('Données brutes'!F:F,"But",'Données brutes'!E:E,"HABI",'Données brutes'!G:G,"7m 9m Ext G suspension")</f>
        <v>0</v>
      </c>
      <c r="D66" s="61">
        <f>COUNTIFS('Données brutes'!F:F,"Ar GB",'Données brutes'!E:E,"HABI",'Données brutes'!G:G,"7m 9m Ext G suspension")</f>
        <v>0</v>
      </c>
      <c r="E66" s="61">
        <f>COUNTIFS('Données brutes'!F:F,"HC",'Données brutes'!E:E,"HABI",'Données brutes'!G:G,"7m 9m Ext G suspension")</f>
        <v>0</v>
      </c>
      <c r="F66" s="90">
        <f>COUNTIFS('Données brutes'!F:F,"Arret NC",'Données brutes'!E:E,"HABI",'Données brutes'!G:G,"ALD")</f>
        <v>0</v>
      </c>
      <c r="G66" s="113"/>
      <c r="H66" s="495"/>
      <c r="I66" s="33" t="s">
        <v>305</v>
      </c>
      <c r="J66" s="31">
        <f t="shared" si="30"/>
        <v>0</v>
      </c>
      <c r="K66" s="12">
        <f t="shared" si="31"/>
        <v>0</v>
      </c>
      <c r="L66" s="27" t="e">
        <f t="shared" si="32"/>
        <v>#DIV/0!</v>
      </c>
      <c r="M66" s="97"/>
      <c r="N66" s="12">
        <f t="shared" si="33"/>
        <v>0</v>
      </c>
      <c r="O66" s="12">
        <f t="shared" si="34"/>
        <v>0</v>
      </c>
      <c r="P66" s="27" t="e">
        <f t="shared" si="35"/>
        <v>#DIV/0!</v>
      </c>
      <c r="Q66" s="495"/>
      <c r="R66" s="325"/>
      <c r="S66" s="325"/>
      <c r="T66" s="326"/>
      <c r="U66" s="113"/>
      <c r="V66" s="495"/>
      <c r="W66" s="33" t="s">
        <v>305</v>
      </c>
      <c r="X66" s="31">
        <f t="shared" si="36"/>
        <v>0</v>
      </c>
      <c r="Y66" s="12">
        <f t="shared" si="37"/>
        <v>0</v>
      </c>
      <c r="Z66" s="27" t="e">
        <f t="shared" si="38"/>
        <v>#DIV/0!</v>
      </c>
      <c r="AA66" s="97"/>
      <c r="AB66" s="12">
        <f t="shared" si="39"/>
        <v>0</v>
      </c>
      <c r="AC66" s="12">
        <f t="shared" si="40"/>
        <v>0</v>
      </c>
      <c r="AD66" s="34" t="e">
        <f t="shared" si="41"/>
        <v>#DIV/0!</v>
      </c>
    </row>
    <row r="67" spans="1:34" ht="15" thickBot="1" x14ac:dyDescent="0.4">
      <c r="A67" s="492"/>
      <c r="B67" s="73" t="s">
        <v>306</v>
      </c>
      <c r="C67" s="153">
        <f>COUNTIFS('Données brutes'!F:F,"But",'Données brutes'!E:E,"HABI",'Données brutes'!G:G,"7m 9m Ext D suspension")</f>
        <v>0</v>
      </c>
      <c r="D67" s="61">
        <f>COUNTIFS('Données brutes'!F:F,"Ar GB",'Données brutes'!E:E,"HABI",'Données brutes'!G:G,"7m 9m Ext D suspension")</f>
        <v>0</v>
      </c>
      <c r="E67" s="61">
        <f>COUNTIFS('Données brutes'!F:F,"HC",'Données brutes'!E:E,"HABI",'Données brutes'!G:G,"7m 9m Ext D suspension")</f>
        <v>0</v>
      </c>
      <c r="F67" s="90">
        <f>COUNTIFS('Données brutes'!F:F,"Arret NC",'Données brutes'!E:E,"HABI",'Données brutes'!G:G,"7m 9m Ext D suspension")</f>
        <v>0</v>
      </c>
      <c r="G67" s="114"/>
      <c r="H67" s="492"/>
      <c r="I67" s="73" t="s">
        <v>306</v>
      </c>
      <c r="J67" s="116">
        <f t="shared" si="30"/>
        <v>0</v>
      </c>
      <c r="K67" s="14">
        <f t="shared" si="31"/>
        <v>0</v>
      </c>
      <c r="L67" s="106" t="e">
        <f t="shared" si="32"/>
        <v>#DIV/0!</v>
      </c>
      <c r="M67" s="105"/>
      <c r="N67" s="14">
        <f t="shared" si="33"/>
        <v>0</v>
      </c>
      <c r="O67" s="14">
        <f t="shared" si="34"/>
        <v>0</v>
      </c>
      <c r="P67" s="106" t="e">
        <f t="shared" si="35"/>
        <v>#DIV/0!</v>
      </c>
      <c r="Q67" s="495"/>
      <c r="R67" s="325"/>
      <c r="S67" s="325"/>
      <c r="T67" s="326"/>
      <c r="U67" s="114"/>
      <c r="V67" s="492"/>
      <c r="W67" s="73" t="s">
        <v>306</v>
      </c>
      <c r="X67" s="116">
        <f t="shared" si="36"/>
        <v>0</v>
      </c>
      <c r="Y67" s="14">
        <f t="shared" si="37"/>
        <v>0</v>
      </c>
      <c r="Z67" s="106" t="e">
        <f t="shared" si="38"/>
        <v>#DIV/0!</v>
      </c>
      <c r="AA67" s="105"/>
      <c r="AB67" s="14">
        <f t="shared" si="39"/>
        <v>0</v>
      </c>
      <c r="AC67" s="14">
        <f t="shared" si="40"/>
        <v>0</v>
      </c>
      <c r="AD67" s="37" t="e">
        <f t="shared" si="41"/>
        <v>#DIV/0!</v>
      </c>
    </row>
    <row r="68" spans="1:34" ht="15" thickBot="1" x14ac:dyDescent="0.4">
      <c r="A68" s="407" t="s">
        <v>146</v>
      </c>
      <c r="B68" s="32" t="s">
        <v>307</v>
      </c>
      <c r="C68" s="152">
        <f>COUNTIFS('Données brutes'!F:F,"But",'Données brutes'!E:E,"HABI",'Données brutes'!G:G,"9m G")</f>
        <v>0</v>
      </c>
      <c r="D68" s="90">
        <f>COUNTIFS('Données brutes'!F:F,"Ar GB",'Données brutes'!E:E,"HABI",'Données brutes'!G:G,"9m G")</f>
        <v>0</v>
      </c>
      <c r="E68" s="90">
        <f>COUNTIFS('Données brutes'!F:F,"HC",'Données brutes'!E:E,"HABI",'Données brutes'!G:G,"9m G")</f>
        <v>0</v>
      </c>
      <c r="F68" s="90">
        <f>COUNTIFS('Données brutes'!F:F,"Arret NC",'Données brutes'!E:E,"HABI",'Données brutes'!G:G,"9m G")</f>
        <v>0</v>
      </c>
      <c r="G68" s="112"/>
      <c r="H68" s="407" t="s">
        <v>146</v>
      </c>
      <c r="I68" s="32" t="s">
        <v>307</v>
      </c>
      <c r="J68" s="115">
        <f t="shared" si="30"/>
        <v>0</v>
      </c>
      <c r="K68" s="102">
        <f t="shared" si="31"/>
        <v>0</v>
      </c>
      <c r="L68" s="103" t="e">
        <f t="shared" si="32"/>
        <v>#DIV/0!</v>
      </c>
      <c r="M68" s="101"/>
      <c r="N68" s="102">
        <f t="shared" si="33"/>
        <v>0</v>
      </c>
      <c r="O68" s="102">
        <f t="shared" si="34"/>
        <v>0</v>
      </c>
      <c r="P68" s="103" t="e">
        <f t="shared" si="35"/>
        <v>#DIV/0!</v>
      </c>
      <c r="Q68" s="404" t="s">
        <v>146</v>
      </c>
      <c r="R68" s="319">
        <f>SUM(N68:N70)</f>
        <v>0</v>
      </c>
      <c r="S68" s="319">
        <f>SUM(O68:O70)</f>
        <v>0</v>
      </c>
      <c r="T68" s="322" t="e">
        <f>R68/S68</f>
        <v>#DIV/0!</v>
      </c>
      <c r="U68" s="112"/>
      <c r="V68" s="407" t="s">
        <v>146</v>
      </c>
      <c r="W68" s="32" t="s">
        <v>307</v>
      </c>
      <c r="X68" s="115">
        <f t="shared" si="36"/>
        <v>0</v>
      </c>
      <c r="Y68" s="102">
        <f t="shared" si="37"/>
        <v>0</v>
      </c>
      <c r="Z68" s="103" t="e">
        <f t="shared" si="38"/>
        <v>#DIV/0!</v>
      </c>
      <c r="AA68" s="101"/>
      <c r="AB68" s="102">
        <f t="shared" si="39"/>
        <v>0</v>
      </c>
      <c r="AC68" s="102">
        <f t="shared" si="40"/>
        <v>0</v>
      </c>
      <c r="AD68" s="104" t="e">
        <f t="shared" si="41"/>
        <v>#DIV/0!</v>
      </c>
    </row>
    <row r="69" spans="1:34" ht="15" thickBot="1" x14ac:dyDescent="0.4">
      <c r="A69" s="404"/>
      <c r="B69" s="33" t="s">
        <v>308</v>
      </c>
      <c r="C69" s="152">
        <f>COUNTIFS('Données brutes'!F:F,"But",'Données brutes'!E:E,"HABI",'Données brutes'!G:G,"9m +")</f>
        <v>0</v>
      </c>
      <c r="D69" s="90">
        <f>COUNTIFS('Données brutes'!F:F,"Ar GB",'Données brutes'!E:E,"HABI",'Données brutes'!G:G,"9m +")</f>
        <v>0</v>
      </c>
      <c r="E69" s="90">
        <f>COUNTIFS('Données brutes'!F:F,"HC",'Données brutes'!E:E,"HABI",'Données brutes'!G:G,"9m +")</f>
        <v>0</v>
      </c>
      <c r="F69" s="90">
        <f>COUNTIFS('Données brutes'!F:F,"Arret NC",'Données brutes'!E:E,"HABI",'Données brutes'!G:G,"9m +")</f>
        <v>0</v>
      </c>
      <c r="G69" s="113"/>
      <c r="H69" s="404"/>
      <c r="I69" s="33" t="s">
        <v>308</v>
      </c>
      <c r="J69" s="31">
        <f t="shared" si="30"/>
        <v>0</v>
      </c>
      <c r="K69" s="12">
        <f t="shared" si="31"/>
        <v>0</v>
      </c>
      <c r="L69" s="27" t="e">
        <f t="shared" si="32"/>
        <v>#DIV/0!</v>
      </c>
      <c r="M69" s="97"/>
      <c r="N69" s="12">
        <f t="shared" si="33"/>
        <v>0</v>
      </c>
      <c r="O69" s="12">
        <f t="shared" si="34"/>
        <v>0</v>
      </c>
      <c r="P69" s="27" t="e">
        <f t="shared" si="35"/>
        <v>#DIV/0!</v>
      </c>
      <c r="Q69" s="404"/>
      <c r="R69" s="325"/>
      <c r="S69" s="325"/>
      <c r="T69" s="326"/>
      <c r="U69" s="113"/>
      <c r="V69" s="404"/>
      <c r="W69" s="33" t="s">
        <v>308</v>
      </c>
      <c r="X69" s="31">
        <f t="shared" si="36"/>
        <v>0</v>
      </c>
      <c r="Y69" s="12">
        <f t="shared" si="37"/>
        <v>0</v>
      </c>
      <c r="Z69" s="27" t="e">
        <f t="shared" si="38"/>
        <v>#DIV/0!</v>
      </c>
      <c r="AA69" s="97"/>
      <c r="AB69" s="12">
        <f t="shared" si="39"/>
        <v>0</v>
      </c>
      <c r="AC69" s="12">
        <f t="shared" si="40"/>
        <v>0</v>
      </c>
      <c r="AD69" s="34" t="e">
        <f t="shared" si="41"/>
        <v>#DIV/0!</v>
      </c>
    </row>
    <row r="70" spans="1:34" ht="15" thickBot="1" x14ac:dyDescent="0.4">
      <c r="A70" s="490"/>
      <c r="B70" s="73" t="s">
        <v>309</v>
      </c>
      <c r="C70" s="152">
        <f>COUNTIFS('Données brutes'!F:F,"But",'Données brutes'!E:E,"HABI",'Données brutes'!G:G,"9m D")</f>
        <v>0</v>
      </c>
      <c r="D70" s="90">
        <f>COUNTIFS('Données brutes'!F:F,"Ar GB",'Données brutes'!E:E,"HABI",'Données brutes'!G:G,"9m D")</f>
        <v>0</v>
      </c>
      <c r="E70" s="90">
        <f>COUNTIFS('Données brutes'!F:F,"HC",'Données brutes'!E:E,"HABI",'Données brutes'!G:G,"9m D")</f>
        <v>0</v>
      </c>
      <c r="F70" s="90">
        <f>COUNTIFS('Données brutes'!F:F,"Arret NC",'Données brutes'!E:E,"HABI",'Données brutes'!G:G,"9m D")</f>
        <v>0</v>
      </c>
      <c r="G70" s="114"/>
      <c r="H70" s="490"/>
      <c r="I70" s="73" t="s">
        <v>309</v>
      </c>
      <c r="J70" s="116">
        <f t="shared" si="30"/>
        <v>0</v>
      </c>
      <c r="K70" s="14">
        <f t="shared" si="31"/>
        <v>0</v>
      </c>
      <c r="L70" s="106" t="e">
        <f t="shared" si="32"/>
        <v>#DIV/0!</v>
      </c>
      <c r="M70" s="105"/>
      <c r="N70" s="14">
        <f t="shared" si="33"/>
        <v>0</v>
      </c>
      <c r="O70" s="14">
        <f t="shared" si="34"/>
        <v>0</v>
      </c>
      <c r="P70" s="106" t="e">
        <f t="shared" si="35"/>
        <v>#DIV/0!</v>
      </c>
      <c r="Q70" s="404"/>
      <c r="R70" s="325"/>
      <c r="S70" s="325"/>
      <c r="T70" s="326"/>
      <c r="U70" s="114"/>
      <c r="V70" s="490"/>
      <c r="W70" s="73" t="s">
        <v>309</v>
      </c>
      <c r="X70" s="116">
        <f t="shared" si="36"/>
        <v>0</v>
      </c>
      <c r="Y70" s="14">
        <f t="shared" si="37"/>
        <v>0</v>
      </c>
      <c r="Z70" s="106" t="e">
        <f t="shared" si="38"/>
        <v>#DIV/0!</v>
      </c>
      <c r="AA70" s="105"/>
      <c r="AB70" s="14">
        <f t="shared" si="39"/>
        <v>0</v>
      </c>
      <c r="AC70" s="14">
        <f t="shared" si="40"/>
        <v>0</v>
      </c>
      <c r="AD70" s="37" t="e">
        <f t="shared" si="41"/>
        <v>#DIV/0!</v>
      </c>
    </row>
    <row r="71" spans="1:34" ht="15" customHeight="1" thickBot="1" x14ac:dyDescent="0.4">
      <c r="A71" s="491" t="s">
        <v>310</v>
      </c>
      <c r="B71" s="32" t="s">
        <v>22</v>
      </c>
      <c r="C71" s="152">
        <f>COUNTIFS('Données brutes'!F:F,"But",'Données brutes'!E:E,"HABI",'Données brutes'!G:G,"But vide")</f>
        <v>0</v>
      </c>
      <c r="D71" s="90">
        <f>COUNTIFS('Données brutes'!F:F,"Ar GB",'Données brutes'!E:E,"HABI",'Données brutes'!G:G,"But vide")</f>
        <v>0</v>
      </c>
      <c r="E71" s="90">
        <f>COUNTIFS('Données brutes'!F:F,"HC",'Données brutes'!E:E,"HABI",'Données brutes'!G:G,"But vide")</f>
        <v>0</v>
      </c>
      <c r="F71" s="90">
        <f>COUNTIFS('Données brutes'!F:F,"Arret NC",'Données brutes'!E:E,"HABI",'Données brutes'!G:G,"But vide")</f>
        <v>0</v>
      </c>
      <c r="G71" s="112"/>
      <c r="H71" s="491" t="s">
        <v>310</v>
      </c>
      <c r="I71" s="32" t="s">
        <v>22</v>
      </c>
      <c r="J71" s="115">
        <f t="shared" si="30"/>
        <v>0</v>
      </c>
      <c r="K71" s="102">
        <f t="shared" si="31"/>
        <v>0</v>
      </c>
      <c r="L71" s="103" t="e">
        <f t="shared" si="32"/>
        <v>#DIV/0!</v>
      </c>
      <c r="M71" s="101"/>
      <c r="N71" s="102">
        <f t="shared" si="33"/>
        <v>0</v>
      </c>
      <c r="O71" s="102">
        <f t="shared" si="34"/>
        <v>0</v>
      </c>
      <c r="P71" s="103" t="e">
        <f t="shared" si="35"/>
        <v>#DIV/0!</v>
      </c>
      <c r="Q71" s="495" t="s">
        <v>310</v>
      </c>
      <c r="R71" s="319">
        <f>N71+N72</f>
        <v>0</v>
      </c>
      <c r="S71" s="319">
        <f>O71+O72</f>
        <v>0</v>
      </c>
      <c r="T71" s="322" t="e">
        <f>R71/S71</f>
        <v>#DIV/0!</v>
      </c>
      <c r="U71" s="112"/>
      <c r="V71" s="491" t="s">
        <v>310</v>
      </c>
      <c r="W71" s="32" t="s">
        <v>22</v>
      </c>
      <c r="X71" s="115">
        <f t="shared" si="36"/>
        <v>0</v>
      </c>
      <c r="Y71" s="102">
        <f t="shared" si="37"/>
        <v>0</v>
      </c>
      <c r="Z71" s="103" t="e">
        <f t="shared" si="38"/>
        <v>#DIV/0!</v>
      </c>
      <c r="AA71" s="101"/>
      <c r="AB71" s="102">
        <f t="shared" si="39"/>
        <v>0</v>
      </c>
      <c r="AC71" s="102">
        <f t="shared" si="40"/>
        <v>0</v>
      </c>
      <c r="AD71" s="104" t="e">
        <f t="shared" si="41"/>
        <v>#DIV/0!</v>
      </c>
    </row>
    <row r="72" spans="1:34" ht="15" thickBot="1" x14ac:dyDescent="0.4">
      <c r="A72" s="492"/>
      <c r="B72" s="73" t="s">
        <v>12</v>
      </c>
      <c r="C72" s="152">
        <f>COUNTIFS('Données brutes'!F:F,"But",'Données brutes'!E:E,"HABI",'Données brutes'!G:G,"CA MB")</f>
        <v>0</v>
      </c>
      <c r="D72" s="90">
        <f>COUNTIFS('Données brutes'!F:F,"Ar GB",'Données brutes'!E:E,"HABI",'Données brutes'!G:G,"CA MB")</f>
        <v>0</v>
      </c>
      <c r="E72" s="90">
        <f>COUNTIFS('Données brutes'!F:F,"HC",'Données brutes'!E:E,"HABI",'Données brutes'!G:G,"CA MB")</f>
        <v>0</v>
      </c>
      <c r="F72" s="90">
        <f>COUNTIFS('Données brutes'!F:F,"Arret NC",'Données brutes'!E:E,"HABI",'Données brutes'!G:G,"CA MB")</f>
        <v>0</v>
      </c>
      <c r="G72" s="114"/>
      <c r="H72" s="492"/>
      <c r="I72" s="73" t="s">
        <v>12</v>
      </c>
      <c r="J72" s="116">
        <f t="shared" si="30"/>
        <v>0</v>
      </c>
      <c r="K72" s="14">
        <f t="shared" si="31"/>
        <v>0</v>
      </c>
      <c r="L72" s="106" t="e">
        <f t="shared" si="32"/>
        <v>#DIV/0!</v>
      </c>
      <c r="M72" s="105"/>
      <c r="N72" s="14">
        <f t="shared" si="33"/>
        <v>0</v>
      </c>
      <c r="O72" s="14">
        <f t="shared" si="34"/>
        <v>0</v>
      </c>
      <c r="P72" s="106" t="e">
        <f t="shared" si="35"/>
        <v>#DIV/0!</v>
      </c>
      <c r="Q72" s="495"/>
      <c r="R72" s="325"/>
      <c r="S72" s="325"/>
      <c r="T72" s="326"/>
      <c r="U72" s="114"/>
      <c r="V72" s="492"/>
      <c r="W72" s="73" t="s">
        <v>12</v>
      </c>
      <c r="X72" s="116">
        <f t="shared" si="36"/>
        <v>0</v>
      </c>
      <c r="Y72" s="14">
        <f t="shared" si="37"/>
        <v>0</v>
      </c>
      <c r="Z72" s="106" t="e">
        <f t="shared" si="38"/>
        <v>#DIV/0!</v>
      </c>
      <c r="AA72" s="105"/>
      <c r="AB72" s="14">
        <f t="shared" si="39"/>
        <v>0</v>
      </c>
      <c r="AC72" s="14">
        <f t="shared" si="40"/>
        <v>0</v>
      </c>
      <c r="AD72" s="37" t="e">
        <f t="shared" si="41"/>
        <v>#DIV/0!</v>
      </c>
    </row>
    <row r="73" spans="1:34" ht="15" thickBot="1" x14ac:dyDescent="0.4">
      <c r="A73" s="488" t="s">
        <v>311</v>
      </c>
      <c r="B73" s="489"/>
      <c r="C73" s="156">
        <f>SUM(C55:C72)</f>
        <v>0</v>
      </c>
      <c r="D73" s="157">
        <f t="shared" ref="D73:E73" si="42">SUM(D55:D72)</f>
        <v>0</v>
      </c>
      <c r="E73" s="157">
        <f t="shared" si="42"/>
        <v>0</v>
      </c>
      <c r="F73" s="157">
        <f>SUM(F55:F68)</f>
        <v>0</v>
      </c>
      <c r="G73" s="111"/>
      <c r="H73" s="488" t="s">
        <v>311</v>
      </c>
      <c r="I73" s="489"/>
      <c r="J73" s="117">
        <f t="shared" si="30"/>
        <v>0</v>
      </c>
      <c r="K73" s="107">
        <f t="shared" si="31"/>
        <v>0</v>
      </c>
      <c r="L73" s="108" t="e">
        <f t="shared" si="32"/>
        <v>#DIV/0!</v>
      </c>
      <c r="M73" s="100"/>
      <c r="N73" s="107">
        <f t="shared" si="33"/>
        <v>0</v>
      </c>
      <c r="O73" s="107">
        <f t="shared" si="34"/>
        <v>0</v>
      </c>
      <c r="P73" s="108" t="e">
        <f t="shared" si="35"/>
        <v>#DIV/0!</v>
      </c>
      <c r="Q73" s="324"/>
      <c r="R73" s="325"/>
      <c r="S73" s="325"/>
      <c r="T73" s="326"/>
      <c r="U73" s="111"/>
      <c r="V73" s="488" t="s">
        <v>311</v>
      </c>
      <c r="W73" s="489"/>
      <c r="X73" s="117">
        <f t="shared" si="36"/>
        <v>0</v>
      </c>
      <c r="Y73" s="107">
        <f t="shared" si="37"/>
        <v>0</v>
      </c>
      <c r="Z73" s="108" t="e">
        <f t="shared" si="38"/>
        <v>#DIV/0!</v>
      </c>
      <c r="AA73" s="100"/>
      <c r="AB73" s="107">
        <f t="shared" si="39"/>
        <v>0</v>
      </c>
      <c r="AC73" s="107">
        <f t="shared" si="40"/>
        <v>0</v>
      </c>
      <c r="AD73" s="109" t="e">
        <f t="shared" si="41"/>
        <v>#DIV/0!</v>
      </c>
    </row>
    <row r="74" spans="1:34" ht="15" thickBot="1" x14ac:dyDescent="0.4">
      <c r="A74" s="95"/>
      <c r="B74" s="96" t="s">
        <v>59</v>
      </c>
      <c r="C74" s="152">
        <f>COUNTIFS('Données brutes'!F:F,"But",'Données brutes'!E:E,"HABI",'Données brutes'!G:G,"Jet 7m")</f>
        <v>0</v>
      </c>
      <c r="D74" s="90">
        <f>COUNTIFS('Données brutes'!F:F,"Ar GB",'Données brutes'!E:E,"HABI",'Données brutes'!G:G,"Jet 7m")</f>
        <v>0</v>
      </c>
      <c r="E74" s="90">
        <f>COUNTIFS('Données brutes'!F:F,"HC",'Données brutes'!E:E,"HABI",'Données brutes'!G:G,"Jet 7m")</f>
        <v>0</v>
      </c>
      <c r="F74" s="90">
        <f>COUNTIFS('Données brutes'!F:F,"Arret NC",'Données brutes'!E:E,"HABI",'Données brutes'!G:G,"Jet 7m")</f>
        <v>0</v>
      </c>
      <c r="G74" s="111"/>
      <c r="H74" s="95"/>
      <c r="I74" s="96" t="s">
        <v>59</v>
      </c>
      <c r="J74" s="117">
        <f t="shared" si="30"/>
        <v>0</v>
      </c>
      <c r="K74" s="107">
        <f t="shared" si="31"/>
        <v>0</v>
      </c>
      <c r="L74" s="108" t="e">
        <f t="shared" si="32"/>
        <v>#DIV/0!</v>
      </c>
      <c r="M74" s="100"/>
      <c r="N74" s="107">
        <f t="shared" si="33"/>
        <v>0</v>
      </c>
      <c r="O74" s="107">
        <f t="shared" si="34"/>
        <v>0</v>
      </c>
      <c r="P74" s="108" t="e">
        <f t="shared" si="35"/>
        <v>#DIV/0!</v>
      </c>
      <c r="Q74" s="324"/>
      <c r="R74" s="325"/>
      <c r="S74" s="325"/>
      <c r="T74" s="326"/>
      <c r="U74" s="111"/>
      <c r="V74" s="95"/>
      <c r="W74" s="96" t="s">
        <v>59</v>
      </c>
      <c r="X74" s="117">
        <f t="shared" si="36"/>
        <v>0</v>
      </c>
      <c r="Y74" s="107">
        <f t="shared" si="37"/>
        <v>0</v>
      </c>
      <c r="Z74" s="108" t="e">
        <f t="shared" si="38"/>
        <v>#DIV/0!</v>
      </c>
      <c r="AA74" s="100"/>
      <c r="AB74" s="107">
        <f t="shared" si="39"/>
        <v>0</v>
      </c>
      <c r="AC74" s="107">
        <f t="shared" si="40"/>
        <v>0</v>
      </c>
      <c r="AD74" s="109" t="e">
        <f t="shared" si="41"/>
        <v>#DIV/0!</v>
      </c>
    </row>
    <row r="75" spans="1:34" ht="15" thickBot="1" x14ac:dyDescent="0.4">
      <c r="A75" s="488" t="s">
        <v>312</v>
      </c>
      <c r="B75" s="489"/>
      <c r="C75" s="156">
        <f>C73+C74</f>
        <v>0</v>
      </c>
      <c r="D75" s="156">
        <f t="shared" ref="D75" si="43">D73+D74</f>
        <v>0</v>
      </c>
      <c r="E75" s="156">
        <f t="shared" ref="E75" si="44">E73+E74</f>
        <v>0</v>
      </c>
      <c r="F75" s="156">
        <f t="shared" ref="F75" si="45">F73+F74</f>
        <v>0</v>
      </c>
      <c r="G75" s="111"/>
      <c r="H75" s="488" t="s">
        <v>312</v>
      </c>
      <c r="I75" s="489"/>
      <c r="J75" s="117">
        <f t="shared" si="30"/>
        <v>0</v>
      </c>
      <c r="K75" s="107">
        <f t="shared" si="31"/>
        <v>0</v>
      </c>
      <c r="L75" s="108" t="e">
        <f t="shared" si="32"/>
        <v>#DIV/0!</v>
      </c>
      <c r="M75" s="100"/>
      <c r="N75" s="107">
        <f t="shared" si="33"/>
        <v>0</v>
      </c>
      <c r="O75" s="107">
        <f t="shared" si="34"/>
        <v>0</v>
      </c>
      <c r="P75" s="108" t="e">
        <f t="shared" si="35"/>
        <v>#DIV/0!</v>
      </c>
      <c r="Q75" s="327"/>
      <c r="R75" s="328"/>
      <c r="S75" s="328"/>
      <c r="T75" s="329"/>
      <c r="U75" s="111"/>
      <c r="V75" s="488" t="s">
        <v>312</v>
      </c>
      <c r="W75" s="489"/>
      <c r="X75" s="117">
        <f t="shared" si="36"/>
        <v>0</v>
      </c>
      <c r="Y75" s="107">
        <f t="shared" si="37"/>
        <v>0</v>
      </c>
      <c r="Z75" s="108" t="e">
        <f t="shared" si="38"/>
        <v>#DIV/0!</v>
      </c>
      <c r="AA75" s="100"/>
      <c r="AB75" s="107">
        <f t="shared" si="39"/>
        <v>0</v>
      </c>
      <c r="AC75" s="107">
        <f t="shared" si="40"/>
        <v>0</v>
      </c>
      <c r="AD75" s="109" t="e">
        <f t="shared" si="41"/>
        <v>#DIV/0!</v>
      </c>
    </row>
    <row r="77" spans="1:34" ht="21" x14ac:dyDescent="0.35">
      <c r="A77" s="500" t="s">
        <v>364</v>
      </c>
      <c r="B77" s="501"/>
      <c r="C77" s="501"/>
      <c r="D77" s="501"/>
      <c r="E77" s="501"/>
      <c r="F77" s="501"/>
      <c r="G77" s="501"/>
      <c r="H77" s="501"/>
      <c r="I77" s="501"/>
      <c r="J77" s="501"/>
      <c r="K77" s="501"/>
      <c r="L77" s="501"/>
      <c r="M77" s="501"/>
      <c r="N77" s="501"/>
      <c r="O77" s="501"/>
      <c r="P77" s="501"/>
      <c r="Q77" s="501"/>
      <c r="R77" s="501"/>
      <c r="S77" s="501"/>
      <c r="T77" s="501"/>
      <c r="U77" s="501"/>
      <c r="V77" s="501"/>
      <c r="W77" s="501"/>
      <c r="X77" s="501"/>
      <c r="Y77" s="501"/>
      <c r="Z77" s="501"/>
      <c r="AA77" s="501"/>
      <c r="AB77" s="501"/>
      <c r="AC77" s="501"/>
      <c r="AD77" s="501"/>
    </row>
    <row r="78" spans="1:34" ht="21.5" thickBot="1" x14ac:dyDescent="0.4">
      <c r="A78" s="502" t="s">
        <v>363</v>
      </c>
      <c r="B78" s="502"/>
      <c r="C78" s="502"/>
      <c r="D78" s="502"/>
      <c r="E78" s="502"/>
      <c r="F78" s="503"/>
      <c r="G78" s="98"/>
      <c r="H78" s="504" t="s">
        <v>149</v>
      </c>
      <c r="I78" s="504"/>
      <c r="J78" s="505" t="s">
        <v>328</v>
      </c>
      <c r="K78" s="505"/>
      <c r="L78" s="505"/>
      <c r="M78" s="99"/>
      <c r="N78" s="505" t="s">
        <v>329</v>
      </c>
      <c r="O78" s="505"/>
      <c r="P78" s="505"/>
      <c r="Q78" s="240"/>
      <c r="R78" s="240"/>
      <c r="S78" s="240"/>
      <c r="T78" s="240"/>
      <c r="U78" s="98"/>
      <c r="V78" s="504" t="s">
        <v>330</v>
      </c>
      <c r="W78" s="504"/>
      <c r="X78" s="505" t="s">
        <v>328</v>
      </c>
      <c r="Y78" s="505"/>
      <c r="Z78" s="505"/>
      <c r="AA78" s="99"/>
      <c r="AB78" s="505" t="s">
        <v>329</v>
      </c>
      <c r="AC78" s="505"/>
      <c r="AD78" s="505"/>
    </row>
    <row r="79" spans="1:34" ht="44" thickBot="1" x14ac:dyDescent="0.4">
      <c r="A79" s="488" t="s">
        <v>5</v>
      </c>
      <c r="B79" s="489"/>
      <c r="C79" s="110" t="s">
        <v>33</v>
      </c>
      <c r="D79" s="88" t="s">
        <v>20</v>
      </c>
      <c r="E79" s="88" t="s">
        <v>10</v>
      </c>
      <c r="F79" s="88" t="s">
        <v>280</v>
      </c>
      <c r="G79" s="111"/>
      <c r="H79" s="488" t="s">
        <v>5</v>
      </c>
      <c r="I79" s="489"/>
      <c r="J79" s="110" t="s">
        <v>20</v>
      </c>
      <c r="K79" s="88" t="s">
        <v>327</v>
      </c>
      <c r="L79" s="88" t="s">
        <v>148</v>
      </c>
      <c r="M79" s="100"/>
      <c r="N79" s="88" t="s">
        <v>11</v>
      </c>
      <c r="O79" s="88" t="s">
        <v>326</v>
      </c>
      <c r="P79" s="88" t="s">
        <v>147</v>
      </c>
      <c r="Q79" s="310"/>
      <c r="R79" s="320" t="s">
        <v>33</v>
      </c>
      <c r="S79" s="320" t="s">
        <v>326</v>
      </c>
      <c r="T79" s="321" t="s">
        <v>150</v>
      </c>
      <c r="U79" s="111"/>
      <c r="V79" s="488" t="s">
        <v>5</v>
      </c>
      <c r="W79" s="489"/>
      <c r="X79" s="110" t="s">
        <v>20</v>
      </c>
      <c r="Y79" s="88" t="s">
        <v>331</v>
      </c>
      <c r="Z79" s="88" t="s">
        <v>148</v>
      </c>
      <c r="AA79" s="100"/>
      <c r="AB79" s="88" t="s">
        <v>11</v>
      </c>
      <c r="AC79" s="88" t="s">
        <v>326</v>
      </c>
      <c r="AD79" s="89" t="s">
        <v>147</v>
      </c>
      <c r="AF79" s="160" t="s">
        <v>384</v>
      </c>
    </row>
    <row r="80" spans="1:34" ht="15" thickBot="1" x14ac:dyDescent="0.4">
      <c r="A80" s="407" t="s">
        <v>295</v>
      </c>
      <c r="B80" s="32" t="s">
        <v>15</v>
      </c>
      <c r="C80" s="152">
        <f>C4+C30+C55</f>
        <v>11</v>
      </c>
      <c r="D80" s="152">
        <f t="shared" ref="D80:F80" si="46">D4+D30+D55</f>
        <v>2</v>
      </c>
      <c r="E80" s="152">
        <f t="shared" si="46"/>
        <v>2</v>
      </c>
      <c r="F80" s="152">
        <f t="shared" si="46"/>
        <v>0</v>
      </c>
      <c r="G80" s="112"/>
      <c r="H80" s="407" t="s">
        <v>295</v>
      </c>
      <c r="I80" s="32" t="s">
        <v>15</v>
      </c>
      <c r="J80" s="115">
        <f>$D80</f>
        <v>2</v>
      </c>
      <c r="K80" s="102">
        <f>$C80+$D80</f>
        <v>13</v>
      </c>
      <c r="L80" s="103">
        <f>J80/K80</f>
        <v>0.15384615384615385</v>
      </c>
      <c r="M80" s="101"/>
      <c r="N80" s="102">
        <f>$C80</f>
        <v>11</v>
      </c>
      <c r="O80" s="102">
        <f>$C80+$D80+$E80</f>
        <v>15</v>
      </c>
      <c r="P80" s="103">
        <f>N80/O80</f>
        <v>0.73333333333333328</v>
      </c>
      <c r="Q80" s="404" t="s">
        <v>295</v>
      </c>
      <c r="R80" s="496" t="s">
        <v>394</v>
      </c>
      <c r="S80" s="496"/>
      <c r="T80" s="497"/>
      <c r="U80" s="112"/>
      <c r="V80" s="407" t="s">
        <v>295</v>
      </c>
      <c r="W80" s="32" t="s">
        <v>15</v>
      </c>
      <c r="X80" s="115">
        <f>$D80+$F80</f>
        <v>2</v>
      </c>
      <c r="Y80" s="102">
        <f>$C80+$D80+$F80</f>
        <v>13</v>
      </c>
      <c r="Z80" s="103">
        <f>X80/Y80</f>
        <v>0.15384615384615385</v>
      </c>
      <c r="AA80" s="101"/>
      <c r="AB80" s="102">
        <f>$C80</f>
        <v>11</v>
      </c>
      <c r="AC80" s="102">
        <f t="shared" ref="AC80:AC96" si="47">C80+D80+F80+E80</f>
        <v>15</v>
      </c>
      <c r="AD80" s="104">
        <f>AB80/AC80</f>
        <v>0.73333333333333328</v>
      </c>
      <c r="AG80" s="32" t="s">
        <v>15</v>
      </c>
      <c r="AH80" s="161">
        <f t="shared" ref="AH80:AH97" si="48">AC80/$AC$98</f>
        <v>8.1081081081081086E-2</v>
      </c>
    </row>
    <row r="81" spans="1:34" ht="15" thickBot="1" x14ac:dyDescent="0.4">
      <c r="A81" s="404"/>
      <c r="B81" s="33" t="s">
        <v>282</v>
      </c>
      <c r="C81" s="152">
        <f t="shared" ref="C81:F100" si="49">C5+C31+C56</f>
        <v>9</v>
      </c>
      <c r="D81" s="152">
        <f t="shared" si="49"/>
        <v>2</v>
      </c>
      <c r="E81" s="152">
        <f t="shared" si="49"/>
        <v>2</v>
      </c>
      <c r="F81" s="152">
        <f t="shared" si="49"/>
        <v>1</v>
      </c>
      <c r="G81" s="113"/>
      <c r="H81" s="404"/>
      <c r="I81" s="33" t="s">
        <v>282</v>
      </c>
      <c r="J81" s="31">
        <f t="shared" ref="J81:J100" si="50">$D81</f>
        <v>2</v>
      </c>
      <c r="K81" s="12">
        <f t="shared" ref="K81:K100" si="51">$C81+$D81</f>
        <v>11</v>
      </c>
      <c r="L81" s="27">
        <f t="shared" ref="L81:L100" si="52">J81/K81</f>
        <v>0.18181818181818182</v>
      </c>
      <c r="M81" s="97"/>
      <c r="N81" s="12">
        <f t="shared" ref="N81:N100" si="53">$C81</f>
        <v>9</v>
      </c>
      <c r="O81" s="12">
        <f t="shared" ref="O81:O100" si="54">$C81+$D81+$E81</f>
        <v>13</v>
      </c>
      <c r="P81" s="27">
        <f t="shared" ref="P81:P100" si="55">N81/O81</f>
        <v>0.69230769230769229</v>
      </c>
      <c r="Q81" s="404"/>
      <c r="R81" s="319">
        <f>N80+N86</f>
        <v>24</v>
      </c>
      <c r="S81" s="319">
        <f>O80+O86</f>
        <v>33</v>
      </c>
      <c r="T81" s="322">
        <f>R81/S81</f>
        <v>0.72727272727272729</v>
      </c>
      <c r="U81" s="113"/>
      <c r="V81" s="404"/>
      <c r="W81" s="33" t="s">
        <v>282</v>
      </c>
      <c r="X81" s="31">
        <f t="shared" ref="X81:X100" si="56">$D81+$F81</f>
        <v>3</v>
      </c>
      <c r="Y81" s="12">
        <f t="shared" ref="Y81:Y100" si="57">$C81+$D81+$F81</f>
        <v>12</v>
      </c>
      <c r="Z81" s="27">
        <f t="shared" ref="Z81:Z100" si="58">X81/Y81</f>
        <v>0.25</v>
      </c>
      <c r="AA81" s="97"/>
      <c r="AB81" s="12">
        <f t="shared" ref="AB81:AB100" si="59">$C81</f>
        <v>9</v>
      </c>
      <c r="AC81" s="12">
        <f t="shared" si="47"/>
        <v>14</v>
      </c>
      <c r="AD81" s="34">
        <f t="shared" ref="AD81:AD100" si="60">AB81/AC81</f>
        <v>0.6428571428571429</v>
      </c>
      <c r="AG81" s="33" t="s">
        <v>282</v>
      </c>
      <c r="AH81" s="161">
        <f t="shared" si="48"/>
        <v>7.567567567567568E-2</v>
      </c>
    </row>
    <row r="82" spans="1:34" ht="15" thickBot="1" x14ac:dyDescent="0.4">
      <c r="A82" s="404"/>
      <c r="B82" s="33" t="s">
        <v>297</v>
      </c>
      <c r="C82" s="152">
        <f t="shared" si="49"/>
        <v>5</v>
      </c>
      <c r="D82" s="152">
        <f t="shared" si="49"/>
        <v>1</v>
      </c>
      <c r="E82" s="152">
        <f t="shared" si="49"/>
        <v>0</v>
      </c>
      <c r="F82" s="152">
        <f t="shared" si="49"/>
        <v>0</v>
      </c>
      <c r="G82" s="113"/>
      <c r="H82" s="404"/>
      <c r="I82" s="33" t="s">
        <v>297</v>
      </c>
      <c r="J82" s="31">
        <f t="shared" si="50"/>
        <v>1</v>
      </c>
      <c r="K82" s="12">
        <f t="shared" si="51"/>
        <v>6</v>
      </c>
      <c r="L82" s="27">
        <f t="shared" si="52"/>
        <v>0.16666666666666666</v>
      </c>
      <c r="M82" s="97"/>
      <c r="N82" s="12">
        <f t="shared" si="53"/>
        <v>5</v>
      </c>
      <c r="O82" s="12">
        <f t="shared" si="54"/>
        <v>6</v>
      </c>
      <c r="P82" s="27">
        <f t="shared" si="55"/>
        <v>0.83333333333333337</v>
      </c>
      <c r="Q82" s="404"/>
      <c r="R82" s="498" t="s">
        <v>395</v>
      </c>
      <c r="S82" s="498"/>
      <c r="T82" s="499"/>
      <c r="U82" s="113"/>
      <c r="V82" s="404"/>
      <c r="W82" s="33" t="s">
        <v>297</v>
      </c>
      <c r="X82" s="31">
        <f t="shared" si="56"/>
        <v>1</v>
      </c>
      <c r="Y82" s="12">
        <f t="shared" si="57"/>
        <v>6</v>
      </c>
      <c r="Z82" s="27">
        <f t="shared" si="58"/>
        <v>0.16666666666666666</v>
      </c>
      <c r="AA82" s="97"/>
      <c r="AB82" s="12">
        <f t="shared" si="59"/>
        <v>5</v>
      </c>
      <c r="AC82" s="12">
        <f t="shared" si="47"/>
        <v>6</v>
      </c>
      <c r="AD82" s="34">
        <f t="shared" si="60"/>
        <v>0.83333333333333337</v>
      </c>
      <c r="AG82" s="33" t="s">
        <v>297</v>
      </c>
      <c r="AH82" s="161">
        <f t="shared" si="48"/>
        <v>3.2432432432432434E-2</v>
      </c>
    </row>
    <row r="83" spans="1:34" ht="15" thickBot="1" x14ac:dyDescent="0.4">
      <c r="A83" s="404"/>
      <c r="B83" s="33" t="s">
        <v>296</v>
      </c>
      <c r="C83" s="152">
        <f t="shared" si="49"/>
        <v>7</v>
      </c>
      <c r="D83" s="152">
        <f t="shared" si="49"/>
        <v>0</v>
      </c>
      <c r="E83" s="152">
        <f t="shared" si="49"/>
        <v>0</v>
      </c>
      <c r="F83" s="152">
        <f t="shared" si="49"/>
        <v>0</v>
      </c>
      <c r="G83" s="113"/>
      <c r="H83" s="404"/>
      <c r="I83" s="33" t="s">
        <v>296</v>
      </c>
      <c r="J83" s="31">
        <f t="shared" si="50"/>
        <v>0</v>
      </c>
      <c r="K83" s="12">
        <f t="shared" si="51"/>
        <v>7</v>
      </c>
      <c r="L83" s="27">
        <f t="shared" si="52"/>
        <v>0</v>
      </c>
      <c r="M83" s="97"/>
      <c r="N83" s="12">
        <f t="shared" si="53"/>
        <v>7</v>
      </c>
      <c r="O83" s="12">
        <f t="shared" si="54"/>
        <v>7</v>
      </c>
      <c r="P83" s="27">
        <f t="shared" si="55"/>
        <v>1</v>
      </c>
      <c r="Q83" s="404"/>
      <c r="R83" s="319">
        <f>N81+N85</f>
        <v>16</v>
      </c>
      <c r="S83" s="319">
        <f>O81+O85</f>
        <v>23</v>
      </c>
      <c r="T83" s="322">
        <f>R83/S83</f>
        <v>0.69565217391304346</v>
      </c>
      <c r="U83" s="113"/>
      <c r="V83" s="404"/>
      <c r="W83" s="33" t="s">
        <v>296</v>
      </c>
      <c r="X83" s="31">
        <f t="shared" si="56"/>
        <v>0</v>
      </c>
      <c r="Y83" s="12">
        <f t="shared" si="57"/>
        <v>7</v>
      </c>
      <c r="Z83" s="27">
        <f t="shared" si="58"/>
        <v>0</v>
      </c>
      <c r="AA83" s="97"/>
      <c r="AB83" s="12">
        <f t="shared" si="59"/>
        <v>7</v>
      </c>
      <c r="AC83" s="12">
        <f t="shared" si="47"/>
        <v>7</v>
      </c>
      <c r="AD83" s="34">
        <f t="shared" si="60"/>
        <v>1</v>
      </c>
      <c r="AG83" s="33" t="s">
        <v>296</v>
      </c>
      <c r="AH83" s="161">
        <f t="shared" si="48"/>
        <v>3.783783783783784E-2</v>
      </c>
    </row>
    <row r="84" spans="1:34" ht="15" thickBot="1" x14ac:dyDescent="0.4">
      <c r="A84" s="404"/>
      <c r="B84" s="33" t="s">
        <v>298</v>
      </c>
      <c r="C84" s="152">
        <f t="shared" si="49"/>
        <v>8</v>
      </c>
      <c r="D84" s="152">
        <f t="shared" si="49"/>
        <v>0</v>
      </c>
      <c r="E84" s="152">
        <f t="shared" si="49"/>
        <v>1</v>
      </c>
      <c r="F84" s="152">
        <f t="shared" si="49"/>
        <v>0</v>
      </c>
      <c r="G84" s="113"/>
      <c r="H84" s="404"/>
      <c r="I84" s="33" t="s">
        <v>298</v>
      </c>
      <c r="J84" s="31">
        <f t="shared" si="50"/>
        <v>0</v>
      </c>
      <c r="K84" s="12">
        <f t="shared" si="51"/>
        <v>8</v>
      </c>
      <c r="L84" s="27">
        <f t="shared" si="52"/>
        <v>0</v>
      </c>
      <c r="M84" s="97"/>
      <c r="N84" s="12">
        <f t="shared" si="53"/>
        <v>8</v>
      </c>
      <c r="O84" s="12">
        <f t="shared" si="54"/>
        <v>9</v>
      </c>
      <c r="P84" s="27">
        <f t="shared" si="55"/>
        <v>0.88888888888888884</v>
      </c>
      <c r="Q84" s="404"/>
      <c r="R84" s="498" t="s">
        <v>396</v>
      </c>
      <c r="S84" s="498"/>
      <c r="T84" s="499"/>
      <c r="U84" s="113"/>
      <c r="V84" s="404"/>
      <c r="W84" s="33" t="s">
        <v>298</v>
      </c>
      <c r="X84" s="31">
        <f t="shared" si="56"/>
        <v>0</v>
      </c>
      <c r="Y84" s="12">
        <f t="shared" si="57"/>
        <v>8</v>
      </c>
      <c r="Z84" s="27">
        <f t="shared" si="58"/>
        <v>0</v>
      </c>
      <c r="AA84" s="97"/>
      <c r="AB84" s="12">
        <f t="shared" si="59"/>
        <v>8</v>
      </c>
      <c r="AC84" s="12">
        <f t="shared" si="47"/>
        <v>9</v>
      </c>
      <c r="AD84" s="34">
        <f t="shared" si="60"/>
        <v>0.88888888888888884</v>
      </c>
      <c r="AG84" s="33" t="s">
        <v>298</v>
      </c>
      <c r="AH84" s="161">
        <f t="shared" si="48"/>
        <v>4.8648648648648651E-2</v>
      </c>
    </row>
    <row r="85" spans="1:34" ht="15" thickBot="1" x14ac:dyDescent="0.4">
      <c r="A85" s="404"/>
      <c r="B85" s="33" t="s">
        <v>283</v>
      </c>
      <c r="C85" s="152">
        <f t="shared" si="49"/>
        <v>7</v>
      </c>
      <c r="D85" s="152">
        <f t="shared" si="49"/>
        <v>2</v>
      </c>
      <c r="E85" s="152">
        <f t="shared" si="49"/>
        <v>1</v>
      </c>
      <c r="F85" s="152">
        <f t="shared" si="49"/>
        <v>0</v>
      </c>
      <c r="G85" s="113"/>
      <c r="H85" s="404"/>
      <c r="I85" s="33" t="s">
        <v>283</v>
      </c>
      <c r="J85" s="31">
        <f t="shared" si="50"/>
        <v>2</v>
      </c>
      <c r="K85" s="12">
        <f t="shared" si="51"/>
        <v>9</v>
      </c>
      <c r="L85" s="27">
        <f t="shared" si="52"/>
        <v>0.22222222222222221</v>
      </c>
      <c r="M85" s="97"/>
      <c r="N85" s="12">
        <f t="shared" si="53"/>
        <v>7</v>
      </c>
      <c r="O85" s="12">
        <f t="shared" si="54"/>
        <v>10</v>
      </c>
      <c r="P85" s="27">
        <f t="shared" si="55"/>
        <v>0.7</v>
      </c>
      <c r="Q85" s="404"/>
      <c r="R85" s="319">
        <f>N82+N83+N84</f>
        <v>20</v>
      </c>
      <c r="S85" s="319">
        <f>O82+O83+O84</f>
        <v>22</v>
      </c>
      <c r="T85" s="322">
        <f>R85/S85</f>
        <v>0.90909090909090906</v>
      </c>
      <c r="U85" s="113"/>
      <c r="V85" s="404"/>
      <c r="W85" s="33" t="s">
        <v>283</v>
      </c>
      <c r="X85" s="31">
        <f t="shared" si="56"/>
        <v>2</v>
      </c>
      <c r="Y85" s="12">
        <f t="shared" si="57"/>
        <v>9</v>
      </c>
      <c r="Z85" s="27">
        <f t="shared" si="58"/>
        <v>0.22222222222222221</v>
      </c>
      <c r="AA85" s="97"/>
      <c r="AB85" s="12">
        <f t="shared" si="59"/>
        <v>7</v>
      </c>
      <c r="AC85" s="12">
        <f t="shared" si="47"/>
        <v>10</v>
      </c>
      <c r="AD85" s="34">
        <f t="shared" si="60"/>
        <v>0.7</v>
      </c>
      <c r="AG85" s="33" t="s">
        <v>283</v>
      </c>
      <c r="AH85" s="161">
        <f t="shared" si="48"/>
        <v>5.4054054054054057E-2</v>
      </c>
    </row>
    <row r="86" spans="1:34" ht="15" customHeight="1" thickBot="1" x14ac:dyDescent="0.4">
      <c r="A86" s="490"/>
      <c r="B86" s="73" t="s">
        <v>17</v>
      </c>
      <c r="C86" s="152">
        <f t="shared" si="49"/>
        <v>13</v>
      </c>
      <c r="D86" s="152">
        <f t="shared" si="49"/>
        <v>4</v>
      </c>
      <c r="E86" s="152">
        <f t="shared" si="49"/>
        <v>1</v>
      </c>
      <c r="F86" s="152">
        <f t="shared" si="49"/>
        <v>0</v>
      </c>
      <c r="G86" s="114"/>
      <c r="H86" s="490"/>
      <c r="I86" s="73" t="s">
        <v>17</v>
      </c>
      <c r="J86" s="116">
        <f t="shared" si="50"/>
        <v>4</v>
      </c>
      <c r="K86" s="14">
        <f t="shared" si="51"/>
        <v>17</v>
      </c>
      <c r="L86" s="106">
        <f t="shared" si="52"/>
        <v>0.23529411764705882</v>
      </c>
      <c r="M86" s="105"/>
      <c r="N86" s="14">
        <f t="shared" si="53"/>
        <v>13</v>
      </c>
      <c r="O86" s="14">
        <f t="shared" si="54"/>
        <v>18</v>
      </c>
      <c r="P86" s="106">
        <f t="shared" si="55"/>
        <v>0.72222222222222221</v>
      </c>
      <c r="Q86" s="404"/>
      <c r="R86" s="325"/>
      <c r="S86" s="325"/>
      <c r="T86" s="326"/>
      <c r="U86" s="114"/>
      <c r="V86" s="490"/>
      <c r="W86" s="73" t="s">
        <v>17</v>
      </c>
      <c r="X86" s="116">
        <f t="shared" si="56"/>
        <v>4</v>
      </c>
      <c r="Y86" s="14">
        <f t="shared" si="57"/>
        <v>17</v>
      </c>
      <c r="Z86" s="106">
        <f t="shared" si="58"/>
        <v>0.23529411764705882</v>
      </c>
      <c r="AA86" s="105"/>
      <c r="AB86" s="14">
        <f t="shared" si="59"/>
        <v>13</v>
      </c>
      <c r="AC86" s="14">
        <f t="shared" si="47"/>
        <v>18</v>
      </c>
      <c r="AD86" s="37">
        <f t="shared" si="60"/>
        <v>0.72222222222222221</v>
      </c>
      <c r="AG86" s="73" t="s">
        <v>17</v>
      </c>
      <c r="AH86" s="161">
        <f t="shared" si="48"/>
        <v>9.7297297297297303E-2</v>
      </c>
    </row>
    <row r="87" spans="1:34" ht="15" customHeight="1" thickBot="1" x14ac:dyDescent="0.4">
      <c r="A87" s="491" t="s">
        <v>299</v>
      </c>
      <c r="B87" s="32" t="s">
        <v>301</v>
      </c>
      <c r="C87" s="152">
        <f t="shared" si="49"/>
        <v>1</v>
      </c>
      <c r="D87" s="152">
        <f t="shared" si="49"/>
        <v>2</v>
      </c>
      <c r="E87" s="152">
        <f t="shared" si="49"/>
        <v>1</v>
      </c>
      <c r="F87" s="152">
        <f t="shared" si="49"/>
        <v>0</v>
      </c>
      <c r="G87" s="112"/>
      <c r="H87" s="491" t="s">
        <v>299</v>
      </c>
      <c r="I87" s="32" t="s">
        <v>301</v>
      </c>
      <c r="J87" s="115">
        <f t="shared" si="50"/>
        <v>2</v>
      </c>
      <c r="K87" s="102">
        <f t="shared" si="51"/>
        <v>3</v>
      </c>
      <c r="L87" s="103">
        <f t="shared" si="52"/>
        <v>0.66666666666666663</v>
      </c>
      <c r="M87" s="101"/>
      <c r="N87" s="102">
        <f t="shared" si="53"/>
        <v>1</v>
      </c>
      <c r="O87" s="102">
        <f t="shared" si="54"/>
        <v>4</v>
      </c>
      <c r="P87" s="103">
        <f t="shared" si="55"/>
        <v>0.25</v>
      </c>
      <c r="Q87" s="495" t="s">
        <v>299</v>
      </c>
      <c r="R87" s="319">
        <f>SUM(N87:N89)</f>
        <v>9</v>
      </c>
      <c r="S87" s="319">
        <f>SUM(O87:O89)</f>
        <v>14</v>
      </c>
      <c r="T87" s="322">
        <f>R87/S87</f>
        <v>0.6428571428571429</v>
      </c>
      <c r="U87" s="112"/>
      <c r="V87" s="491" t="s">
        <v>299</v>
      </c>
      <c r="W87" s="32" t="s">
        <v>301</v>
      </c>
      <c r="X87" s="115">
        <f t="shared" si="56"/>
        <v>2</v>
      </c>
      <c r="Y87" s="102">
        <f t="shared" si="57"/>
        <v>3</v>
      </c>
      <c r="Z87" s="103">
        <f t="shared" si="58"/>
        <v>0.66666666666666663</v>
      </c>
      <c r="AA87" s="101"/>
      <c r="AB87" s="102">
        <f t="shared" si="59"/>
        <v>1</v>
      </c>
      <c r="AC87" s="102">
        <f t="shared" si="47"/>
        <v>4</v>
      </c>
      <c r="AD87" s="104">
        <f t="shared" si="60"/>
        <v>0.25</v>
      </c>
      <c r="AG87" s="32" t="s">
        <v>301</v>
      </c>
      <c r="AH87" s="161">
        <f t="shared" si="48"/>
        <v>2.1621621621621623E-2</v>
      </c>
    </row>
    <row r="88" spans="1:34" ht="15" thickBot="1" x14ac:dyDescent="0.4">
      <c r="A88" s="495"/>
      <c r="B88" s="33" t="s">
        <v>302</v>
      </c>
      <c r="C88" s="152">
        <f t="shared" si="49"/>
        <v>4</v>
      </c>
      <c r="D88" s="152">
        <f t="shared" si="49"/>
        <v>0</v>
      </c>
      <c r="E88" s="152">
        <f t="shared" si="49"/>
        <v>0</v>
      </c>
      <c r="F88" s="152">
        <f t="shared" si="49"/>
        <v>0</v>
      </c>
      <c r="G88" s="113"/>
      <c r="H88" s="495"/>
      <c r="I88" s="33" t="s">
        <v>302</v>
      </c>
      <c r="J88" s="31">
        <f t="shared" si="50"/>
        <v>0</v>
      </c>
      <c r="K88" s="12">
        <f t="shared" si="51"/>
        <v>4</v>
      </c>
      <c r="L88" s="27">
        <f t="shared" si="52"/>
        <v>0</v>
      </c>
      <c r="M88" s="97"/>
      <c r="N88" s="12">
        <f t="shared" si="53"/>
        <v>4</v>
      </c>
      <c r="O88" s="12">
        <f t="shared" si="54"/>
        <v>4</v>
      </c>
      <c r="P88" s="27">
        <f t="shared" si="55"/>
        <v>1</v>
      </c>
      <c r="Q88" s="495"/>
      <c r="R88" s="325"/>
      <c r="S88" s="325"/>
      <c r="T88" s="326"/>
      <c r="U88" s="113"/>
      <c r="V88" s="495"/>
      <c r="W88" s="33" t="s">
        <v>302</v>
      </c>
      <c r="X88" s="31">
        <f t="shared" si="56"/>
        <v>0</v>
      </c>
      <c r="Y88" s="12">
        <f t="shared" si="57"/>
        <v>4</v>
      </c>
      <c r="Z88" s="27">
        <f t="shared" si="58"/>
        <v>0</v>
      </c>
      <c r="AA88" s="97"/>
      <c r="AB88" s="12">
        <f t="shared" si="59"/>
        <v>4</v>
      </c>
      <c r="AC88" s="12">
        <f t="shared" si="47"/>
        <v>4</v>
      </c>
      <c r="AD88" s="34">
        <f t="shared" si="60"/>
        <v>1</v>
      </c>
      <c r="AG88" s="33" t="s">
        <v>302</v>
      </c>
      <c r="AH88" s="161">
        <f t="shared" si="48"/>
        <v>2.1621621621621623E-2</v>
      </c>
    </row>
    <row r="89" spans="1:34" ht="15" customHeight="1" thickBot="1" x14ac:dyDescent="0.4">
      <c r="A89" s="492"/>
      <c r="B89" s="73" t="s">
        <v>303</v>
      </c>
      <c r="C89" s="152">
        <f t="shared" si="49"/>
        <v>4</v>
      </c>
      <c r="D89" s="152">
        <f t="shared" si="49"/>
        <v>0</v>
      </c>
      <c r="E89" s="152">
        <f t="shared" si="49"/>
        <v>2</v>
      </c>
      <c r="F89" s="152">
        <f t="shared" si="49"/>
        <v>0</v>
      </c>
      <c r="G89" s="114"/>
      <c r="H89" s="492"/>
      <c r="I89" s="73" t="s">
        <v>303</v>
      </c>
      <c r="J89" s="116">
        <f t="shared" si="50"/>
        <v>0</v>
      </c>
      <c r="K89" s="14">
        <f t="shared" si="51"/>
        <v>4</v>
      </c>
      <c r="L89" s="106">
        <f t="shared" si="52"/>
        <v>0</v>
      </c>
      <c r="M89" s="105"/>
      <c r="N89" s="14">
        <f t="shared" si="53"/>
        <v>4</v>
      </c>
      <c r="O89" s="14">
        <f t="shared" si="54"/>
        <v>6</v>
      </c>
      <c r="P89" s="106">
        <f t="shared" si="55"/>
        <v>0.66666666666666663</v>
      </c>
      <c r="Q89" s="495"/>
      <c r="R89" s="325"/>
      <c r="S89" s="325"/>
      <c r="T89" s="326"/>
      <c r="U89" s="114"/>
      <c r="V89" s="492"/>
      <c r="W89" s="73" t="s">
        <v>303</v>
      </c>
      <c r="X89" s="116">
        <f t="shared" si="56"/>
        <v>0</v>
      </c>
      <c r="Y89" s="14">
        <f t="shared" si="57"/>
        <v>4</v>
      </c>
      <c r="Z89" s="106">
        <f t="shared" si="58"/>
        <v>0</v>
      </c>
      <c r="AA89" s="105"/>
      <c r="AB89" s="14">
        <f t="shared" si="59"/>
        <v>4</v>
      </c>
      <c r="AC89" s="14">
        <f t="shared" si="47"/>
        <v>6</v>
      </c>
      <c r="AD89" s="37">
        <f t="shared" si="60"/>
        <v>0.66666666666666663</v>
      </c>
      <c r="AG89" s="73" t="s">
        <v>303</v>
      </c>
      <c r="AH89" s="161">
        <f t="shared" si="48"/>
        <v>3.2432432432432434E-2</v>
      </c>
    </row>
    <row r="90" spans="1:34" ht="15" customHeight="1" thickBot="1" x14ac:dyDescent="0.4">
      <c r="A90" s="491" t="s">
        <v>300</v>
      </c>
      <c r="B90" s="32" t="s">
        <v>304</v>
      </c>
      <c r="C90" s="152">
        <f t="shared" si="49"/>
        <v>11</v>
      </c>
      <c r="D90" s="152">
        <f t="shared" si="49"/>
        <v>3</v>
      </c>
      <c r="E90" s="152">
        <f t="shared" si="49"/>
        <v>0</v>
      </c>
      <c r="F90" s="152">
        <f t="shared" si="49"/>
        <v>0</v>
      </c>
      <c r="G90" s="112"/>
      <c r="H90" s="491" t="s">
        <v>300</v>
      </c>
      <c r="I90" s="32" t="s">
        <v>304</v>
      </c>
      <c r="J90" s="115">
        <f t="shared" si="50"/>
        <v>3</v>
      </c>
      <c r="K90" s="102">
        <f t="shared" si="51"/>
        <v>14</v>
      </c>
      <c r="L90" s="103">
        <f t="shared" si="52"/>
        <v>0.21428571428571427</v>
      </c>
      <c r="M90" s="101"/>
      <c r="N90" s="102">
        <f t="shared" si="53"/>
        <v>11</v>
      </c>
      <c r="O90" s="102">
        <f t="shared" si="54"/>
        <v>14</v>
      </c>
      <c r="P90" s="103">
        <f t="shared" si="55"/>
        <v>0.7857142857142857</v>
      </c>
      <c r="Q90" s="495" t="s">
        <v>300</v>
      </c>
      <c r="R90" s="319">
        <f>SUM(N90:N92)</f>
        <v>14</v>
      </c>
      <c r="S90" s="319">
        <f>SUM(O90:O92)</f>
        <v>25</v>
      </c>
      <c r="T90" s="322">
        <f>R90/S90</f>
        <v>0.56000000000000005</v>
      </c>
      <c r="U90" s="112"/>
      <c r="V90" s="491" t="s">
        <v>300</v>
      </c>
      <c r="W90" s="32" t="s">
        <v>304</v>
      </c>
      <c r="X90" s="115">
        <f t="shared" si="56"/>
        <v>3</v>
      </c>
      <c r="Y90" s="102">
        <f t="shared" si="57"/>
        <v>14</v>
      </c>
      <c r="Z90" s="103">
        <f t="shared" si="58"/>
        <v>0.21428571428571427</v>
      </c>
      <c r="AA90" s="101"/>
      <c r="AB90" s="102">
        <f t="shared" si="59"/>
        <v>11</v>
      </c>
      <c r="AC90" s="102">
        <f t="shared" si="47"/>
        <v>14</v>
      </c>
      <c r="AD90" s="104">
        <f t="shared" si="60"/>
        <v>0.7857142857142857</v>
      </c>
      <c r="AG90" s="32" t="s">
        <v>304</v>
      </c>
      <c r="AH90" s="161">
        <f t="shared" si="48"/>
        <v>7.567567567567568E-2</v>
      </c>
    </row>
    <row r="91" spans="1:34" ht="15" thickBot="1" x14ac:dyDescent="0.4">
      <c r="A91" s="495"/>
      <c r="B91" s="33" t="s">
        <v>305</v>
      </c>
      <c r="C91" s="152">
        <f t="shared" si="49"/>
        <v>2</v>
      </c>
      <c r="D91" s="152">
        <f t="shared" si="49"/>
        <v>2</v>
      </c>
      <c r="E91" s="152">
        <f t="shared" si="49"/>
        <v>3</v>
      </c>
      <c r="F91" s="152">
        <f t="shared" si="49"/>
        <v>0</v>
      </c>
      <c r="G91" s="113"/>
      <c r="H91" s="495"/>
      <c r="I91" s="33" t="s">
        <v>305</v>
      </c>
      <c r="J91" s="31">
        <f t="shared" si="50"/>
        <v>2</v>
      </c>
      <c r="K91" s="12">
        <f t="shared" si="51"/>
        <v>4</v>
      </c>
      <c r="L91" s="27">
        <f t="shared" si="52"/>
        <v>0.5</v>
      </c>
      <c r="M91" s="97"/>
      <c r="N91" s="12">
        <f t="shared" si="53"/>
        <v>2</v>
      </c>
      <c r="O91" s="12">
        <f t="shared" si="54"/>
        <v>7</v>
      </c>
      <c r="P91" s="27">
        <f t="shared" si="55"/>
        <v>0.2857142857142857</v>
      </c>
      <c r="Q91" s="495"/>
      <c r="R91" s="325"/>
      <c r="S91" s="325"/>
      <c r="T91" s="326"/>
      <c r="U91" s="113"/>
      <c r="V91" s="495"/>
      <c r="W91" s="33" t="s">
        <v>305</v>
      </c>
      <c r="X91" s="31">
        <f t="shared" si="56"/>
        <v>2</v>
      </c>
      <c r="Y91" s="12">
        <f t="shared" si="57"/>
        <v>4</v>
      </c>
      <c r="Z91" s="27">
        <f t="shared" si="58"/>
        <v>0.5</v>
      </c>
      <c r="AA91" s="97"/>
      <c r="AB91" s="12">
        <f t="shared" si="59"/>
        <v>2</v>
      </c>
      <c r="AC91" s="12">
        <f t="shared" si="47"/>
        <v>7</v>
      </c>
      <c r="AD91" s="34">
        <f t="shared" si="60"/>
        <v>0.2857142857142857</v>
      </c>
      <c r="AG91" s="33" t="s">
        <v>305</v>
      </c>
      <c r="AH91" s="161">
        <f t="shared" si="48"/>
        <v>3.783783783783784E-2</v>
      </c>
    </row>
    <row r="92" spans="1:34" ht="15" thickBot="1" x14ac:dyDescent="0.4">
      <c r="A92" s="492"/>
      <c r="B92" s="73" t="s">
        <v>306</v>
      </c>
      <c r="C92" s="152">
        <f t="shared" si="49"/>
        <v>1</v>
      </c>
      <c r="D92" s="152">
        <f t="shared" si="49"/>
        <v>2</v>
      </c>
      <c r="E92" s="152">
        <f t="shared" si="49"/>
        <v>1</v>
      </c>
      <c r="F92" s="152">
        <f t="shared" si="49"/>
        <v>1</v>
      </c>
      <c r="G92" s="114"/>
      <c r="H92" s="492"/>
      <c r="I92" s="73" t="s">
        <v>306</v>
      </c>
      <c r="J92" s="116">
        <f t="shared" si="50"/>
        <v>2</v>
      </c>
      <c r="K92" s="14">
        <f t="shared" si="51"/>
        <v>3</v>
      </c>
      <c r="L92" s="106">
        <f t="shared" si="52"/>
        <v>0.66666666666666663</v>
      </c>
      <c r="M92" s="105"/>
      <c r="N92" s="14">
        <f t="shared" si="53"/>
        <v>1</v>
      </c>
      <c r="O92" s="14">
        <f t="shared" si="54"/>
        <v>4</v>
      </c>
      <c r="P92" s="106">
        <f t="shared" si="55"/>
        <v>0.25</v>
      </c>
      <c r="Q92" s="495"/>
      <c r="R92" s="325"/>
      <c r="S92" s="325"/>
      <c r="T92" s="326"/>
      <c r="U92" s="114"/>
      <c r="V92" s="492"/>
      <c r="W92" s="73" t="s">
        <v>306</v>
      </c>
      <c r="X92" s="116">
        <f t="shared" si="56"/>
        <v>3</v>
      </c>
      <c r="Y92" s="14">
        <f t="shared" si="57"/>
        <v>4</v>
      </c>
      <c r="Z92" s="106">
        <f t="shared" si="58"/>
        <v>0.75</v>
      </c>
      <c r="AA92" s="105"/>
      <c r="AB92" s="14">
        <f t="shared" si="59"/>
        <v>1</v>
      </c>
      <c r="AC92" s="14">
        <f t="shared" si="47"/>
        <v>5</v>
      </c>
      <c r="AD92" s="37">
        <f t="shared" si="60"/>
        <v>0.2</v>
      </c>
      <c r="AG92" s="73" t="s">
        <v>306</v>
      </c>
      <c r="AH92" s="161">
        <f t="shared" si="48"/>
        <v>2.7027027027027029E-2</v>
      </c>
    </row>
    <row r="93" spans="1:34" ht="15" thickBot="1" x14ac:dyDescent="0.4">
      <c r="A93" s="407" t="s">
        <v>146</v>
      </c>
      <c r="B93" s="32" t="s">
        <v>307</v>
      </c>
      <c r="C93" s="152">
        <f t="shared" si="49"/>
        <v>3</v>
      </c>
      <c r="D93" s="152">
        <f t="shared" si="49"/>
        <v>2</v>
      </c>
      <c r="E93" s="152">
        <f t="shared" si="49"/>
        <v>1</v>
      </c>
      <c r="F93" s="152">
        <f t="shared" si="49"/>
        <v>0</v>
      </c>
      <c r="G93" s="112"/>
      <c r="H93" s="407" t="s">
        <v>146</v>
      </c>
      <c r="I93" s="32" t="s">
        <v>307</v>
      </c>
      <c r="J93" s="115">
        <f t="shared" si="50"/>
        <v>2</v>
      </c>
      <c r="K93" s="102">
        <f t="shared" si="51"/>
        <v>5</v>
      </c>
      <c r="L93" s="103">
        <f t="shared" si="52"/>
        <v>0.4</v>
      </c>
      <c r="M93" s="101"/>
      <c r="N93" s="102">
        <f t="shared" si="53"/>
        <v>3</v>
      </c>
      <c r="O93" s="102">
        <f t="shared" si="54"/>
        <v>6</v>
      </c>
      <c r="P93" s="103">
        <f t="shared" si="55"/>
        <v>0.5</v>
      </c>
      <c r="Q93" s="404" t="s">
        <v>146</v>
      </c>
      <c r="R93" s="319">
        <f>SUM(N93:N95)</f>
        <v>17</v>
      </c>
      <c r="S93" s="319">
        <f>SUM(O93:O95)</f>
        <v>46</v>
      </c>
      <c r="T93" s="322">
        <f>R93/S93</f>
        <v>0.36956521739130432</v>
      </c>
      <c r="U93" s="112"/>
      <c r="V93" s="407" t="s">
        <v>146</v>
      </c>
      <c r="W93" s="32" t="s">
        <v>307</v>
      </c>
      <c r="X93" s="115">
        <f t="shared" si="56"/>
        <v>2</v>
      </c>
      <c r="Y93" s="102">
        <f t="shared" si="57"/>
        <v>5</v>
      </c>
      <c r="Z93" s="103">
        <f t="shared" si="58"/>
        <v>0.4</v>
      </c>
      <c r="AA93" s="101"/>
      <c r="AB93" s="102">
        <f t="shared" si="59"/>
        <v>3</v>
      </c>
      <c r="AC93" s="102">
        <f t="shared" si="47"/>
        <v>6</v>
      </c>
      <c r="AD93" s="104">
        <f t="shared" si="60"/>
        <v>0.5</v>
      </c>
      <c r="AG93" s="32" t="s">
        <v>307</v>
      </c>
      <c r="AH93" s="161">
        <f t="shared" si="48"/>
        <v>3.2432432432432434E-2</v>
      </c>
    </row>
    <row r="94" spans="1:34" ht="15" thickBot="1" x14ac:dyDescent="0.4">
      <c r="A94" s="404"/>
      <c r="B94" s="33" t="s">
        <v>308</v>
      </c>
      <c r="C94" s="152">
        <f t="shared" si="49"/>
        <v>13</v>
      </c>
      <c r="D94" s="152">
        <f t="shared" si="49"/>
        <v>14</v>
      </c>
      <c r="E94" s="152">
        <f t="shared" si="49"/>
        <v>7</v>
      </c>
      <c r="F94" s="152">
        <f t="shared" si="49"/>
        <v>5</v>
      </c>
      <c r="G94" s="113"/>
      <c r="H94" s="404"/>
      <c r="I94" s="33" t="s">
        <v>308</v>
      </c>
      <c r="J94" s="31">
        <f t="shared" si="50"/>
        <v>14</v>
      </c>
      <c r="K94" s="12">
        <f t="shared" si="51"/>
        <v>27</v>
      </c>
      <c r="L94" s="27">
        <f t="shared" si="52"/>
        <v>0.51851851851851849</v>
      </c>
      <c r="M94" s="97"/>
      <c r="N94" s="12">
        <f t="shared" si="53"/>
        <v>13</v>
      </c>
      <c r="O94" s="12">
        <f t="shared" si="54"/>
        <v>34</v>
      </c>
      <c r="P94" s="27">
        <f t="shared" si="55"/>
        <v>0.38235294117647056</v>
      </c>
      <c r="Q94" s="404"/>
      <c r="R94" s="325"/>
      <c r="S94" s="325"/>
      <c r="T94" s="326"/>
      <c r="U94" s="113"/>
      <c r="V94" s="404"/>
      <c r="W94" s="33" t="s">
        <v>308</v>
      </c>
      <c r="X94" s="31">
        <f t="shared" si="56"/>
        <v>19</v>
      </c>
      <c r="Y94" s="12">
        <f t="shared" si="57"/>
        <v>32</v>
      </c>
      <c r="Z94" s="27">
        <f t="shared" si="58"/>
        <v>0.59375</v>
      </c>
      <c r="AA94" s="97"/>
      <c r="AB94" s="12">
        <f t="shared" si="59"/>
        <v>13</v>
      </c>
      <c r="AC94" s="12">
        <f t="shared" si="47"/>
        <v>39</v>
      </c>
      <c r="AD94" s="34">
        <f t="shared" si="60"/>
        <v>0.33333333333333331</v>
      </c>
      <c r="AG94" s="33" t="s">
        <v>308</v>
      </c>
      <c r="AH94" s="161">
        <f t="shared" si="48"/>
        <v>0.21081081081081082</v>
      </c>
    </row>
    <row r="95" spans="1:34" ht="15" customHeight="1" thickBot="1" x14ac:dyDescent="0.4">
      <c r="A95" s="490"/>
      <c r="B95" s="73" t="s">
        <v>309</v>
      </c>
      <c r="C95" s="152">
        <f t="shared" si="49"/>
        <v>1</v>
      </c>
      <c r="D95" s="152">
        <f t="shared" si="49"/>
        <v>1</v>
      </c>
      <c r="E95" s="152">
        <f t="shared" si="49"/>
        <v>4</v>
      </c>
      <c r="F95" s="152">
        <f t="shared" si="49"/>
        <v>0</v>
      </c>
      <c r="G95" s="114"/>
      <c r="H95" s="490"/>
      <c r="I95" s="73" t="s">
        <v>309</v>
      </c>
      <c r="J95" s="116">
        <f t="shared" si="50"/>
        <v>1</v>
      </c>
      <c r="K95" s="14">
        <f t="shared" si="51"/>
        <v>2</v>
      </c>
      <c r="L95" s="106">
        <f t="shared" si="52"/>
        <v>0.5</v>
      </c>
      <c r="M95" s="105"/>
      <c r="N95" s="14">
        <f t="shared" si="53"/>
        <v>1</v>
      </c>
      <c r="O95" s="14">
        <f t="shared" si="54"/>
        <v>6</v>
      </c>
      <c r="P95" s="106">
        <f t="shared" si="55"/>
        <v>0.16666666666666666</v>
      </c>
      <c r="Q95" s="404"/>
      <c r="R95" s="325"/>
      <c r="S95" s="325"/>
      <c r="T95" s="326"/>
      <c r="U95" s="114"/>
      <c r="V95" s="490"/>
      <c r="W95" s="73" t="s">
        <v>309</v>
      </c>
      <c r="X95" s="116">
        <f t="shared" si="56"/>
        <v>1</v>
      </c>
      <c r="Y95" s="14">
        <f t="shared" si="57"/>
        <v>2</v>
      </c>
      <c r="Z95" s="106">
        <f t="shared" si="58"/>
        <v>0.5</v>
      </c>
      <c r="AA95" s="105"/>
      <c r="AB95" s="14">
        <f t="shared" si="59"/>
        <v>1</v>
      </c>
      <c r="AC95" s="14">
        <f t="shared" si="47"/>
        <v>6</v>
      </c>
      <c r="AD95" s="37">
        <f t="shared" si="60"/>
        <v>0.16666666666666666</v>
      </c>
      <c r="AG95" s="73" t="s">
        <v>309</v>
      </c>
      <c r="AH95" s="161">
        <f t="shared" si="48"/>
        <v>3.2432432432432434E-2</v>
      </c>
    </row>
    <row r="96" spans="1:34" ht="15" customHeight="1" thickBot="1" x14ac:dyDescent="0.4">
      <c r="A96" s="491" t="s">
        <v>310</v>
      </c>
      <c r="B96" s="32" t="s">
        <v>22</v>
      </c>
      <c r="C96" s="152">
        <f t="shared" si="49"/>
        <v>1</v>
      </c>
      <c r="D96" s="152">
        <f t="shared" si="49"/>
        <v>0</v>
      </c>
      <c r="E96" s="152">
        <f t="shared" si="49"/>
        <v>2</v>
      </c>
      <c r="F96" s="152">
        <f t="shared" si="49"/>
        <v>0</v>
      </c>
      <c r="G96" s="112"/>
      <c r="H96" s="491" t="s">
        <v>310</v>
      </c>
      <c r="I96" s="32" t="s">
        <v>22</v>
      </c>
      <c r="J96" s="115">
        <f t="shared" si="50"/>
        <v>0</v>
      </c>
      <c r="K96" s="102">
        <f t="shared" si="51"/>
        <v>1</v>
      </c>
      <c r="L96" s="103">
        <f t="shared" si="52"/>
        <v>0</v>
      </c>
      <c r="M96" s="101"/>
      <c r="N96" s="102">
        <f t="shared" si="53"/>
        <v>1</v>
      </c>
      <c r="O96" s="102">
        <f t="shared" si="54"/>
        <v>3</v>
      </c>
      <c r="P96" s="103">
        <f t="shared" si="55"/>
        <v>0.33333333333333331</v>
      </c>
      <c r="Q96" s="495" t="s">
        <v>310</v>
      </c>
      <c r="R96" s="319">
        <f>N96+N97</f>
        <v>16</v>
      </c>
      <c r="S96" s="319">
        <f>O96+O97</f>
        <v>20</v>
      </c>
      <c r="T96" s="322">
        <f>R96/S96</f>
        <v>0.8</v>
      </c>
      <c r="U96" s="112"/>
      <c r="V96" s="493" t="s">
        <v>310</v>
      </c>
      <c r="W96" s="32" t="s">
        <v>22</v>
      </c>
      <c r="X96" s="115">
        <f t="shared" si="56"/>
        <v>0</v>
      </c>
      <c r="Y96" s="102">
        <f t="shared" si="57"/>
        <v>1</v>
      </c>
      <c r="Z96" s="103">
        <f t="shared" si="58"/>
        <v>0</v>
      </c>
      <c r="AA96" s="101"/>
      <c r="AB96" s="102">
        <f t="shared" si="59"/>
        <v>1</v>
      </c>
      <c r="AC96" s="102">
        <f t="shared" si="47"/>
        <v>3</v>
      </c>
      <c r="AD96" s="104">
        <f t="shared" si="60"/>
        <v>0.33333333333333331</v>
      </c>
      <c r="AG96" s="32" t="s">
        <v>22</v>
      </c>
      <c r="AH96" s="161">
        <f t="shared" si="48"/>
        <v>1.6216216216216217E-2</v>
      </c>
    </row>
    <row r="97" spans="1:34" ht="15" thickBot="1" x14ac:dyDescent="0.4">
      <c r="A97" s="492"/>
      <c r="B97" s="73" t="s">
        <v>12</v>
      </c>
      <c r="C97" s="152">
        <f t="shared" si="49"/>
        <v>15</v>
      </c>
      <c r="D97" s="152">
        <f t="shared" si="49"/>
        <v>1</v>
      </c>
      <c r="E97" s="152">
        <f t="shared" si="49"/>
        <v>1</v>
      </c>
      <c r="F97" s="152">
        <f t="shared" si="49"/>
        <v>0</v>
      </c>
      <c r="G97" s="114"/>
      <c r="H97" s="492"/>
      <c r="I97" s="73" t="s">
        <v>12</v>
      </c>
      <c r="J97" s="116">
        <f t="shared" si="50"/>
        <v>1</v>
      </c>
      <c r="K97" s="14">
        <f t="shared" si="51"/>
        <v>16</v>
      </c>
      <c r="L97" s="106">
        <f t="shared" si="52"/>
        <v>6.25E-2</v>
      </c>
      <c r="M97" s="105"/>
      <c r="N97" s="14">
        <f t="shared" si="53"/>
        <v>15</v>
      </c>
      <c r="O97" s="14">
        <f t="shared" si="54"/>
        <v>17</v>
      </c>
      <c r="P97" s="106">
        <f t="shared" si="55"/>
        <v>0.88235294117647056</v>
      </c>
      <c r="Q97" s="495"/>
      <c r="R97" s="325"/>
      <c r="S97" s="325"/>
      <c r="T97" s="326"/>
      <c r="U97" s="114"/>
      <c r="V97" s="494"/>
      <c r="W97" s="73" t="s">
        <v>12</v>
      </c>
      <c r="X97" s="116">
        <f t="shared" si="56"/>
        <v>1</v>
      </c>
      <c r="Y97" s="14">
        <f t="shared" si="57"/>
        <v>16</v>
      </c>
      <c r="Z97" s="106">
        <f t="shared" si="58"/>
        <v>6.25E-2</v>
      </c>
      <c r="AA97" s="105"/>
      <c r="AB97" s="14">
        <f t="shared" si="59"/>
        <v>15</v>
      </c>
      <c r="AC97" s="14">
        <f t="shared" ref="AC97:AC100" si="61">C97+D97+F97+E97</f>
        <v>17</v>
      </c>
      <c r="AD97" s="37">
        <f t="shared" si="60"/>
        <v>0.88235294117647056</v>
      </c>
      <c r="AG97" s="73" t="s">
        <v>12</v>
      </c>
      <c r="AH97" s="161">
        <f t="shared" si="48"/>
        <v>9.1891891891891897E-2</v>
      </c>
    </row>
    <row r="98" spans="1:34" ht="15" thickBot="1" x14ac:dyDescent="0.4">
      <c r="A98" s="488" t="s">
        <v>311</v>
      </c>
      <c r="B98" s="489"/>
      <c r="C98" s="152">
        <f t="shared" si="49"/>
        <v>116</v>
      </c>
      <c r="D98" s="152">
        <f t="shared" si="49"/>
        <v>38</v>
      </c>
      <c r="E98" s="152">
        <f t="shared" si="49"/>
        <v>29</v>
      </c>
      <c r="F98" s="152">
        <f t="shared" si="49"/>
        <v>2</v>
      </c>
      <c r="G98" s="111"/>
      <c r="H98" s="488" t="s">
        <v>311</v>
      </c>
      <c r="I98" s="489"/>
      <c r="J98" s="117">
        <f t="shared" si="50"/>
        <v>38</v>
      </c>
      <c r="K98" s="107">
        <f t="shared" si="51"/>
        <v>154</v>
      </c>
      <c r="L98" s="108">
        <f t="shared" si="52"/>
        <v>0.24675324675324675</v>
      </c>
      <c r="M98" s="100"/>
      <c r="N98" s="107">
        <f t="shared" si="53"/>
        <v>116</v>
      </c>
      <c r="O98" s="107">
        <f t="shared" si="54"/>
        <v>183</v>
      </c>
      <c r="P98" s="108">
        <f t="shared" si="55"/>
        <v>0.63387978142076506</v>
      </c>
      <c r="Q98" s="324"/>
      <c r="R98" s="325"/>
      <c r="S98" s="325"/>
      <c r="T98" s="326"/>
      <c r="U98" s="111"/>
      <c r="V98" s="488" t="s">
        <v>311</v>
      </c>
      <c r="W98" s="489"/>
      <c r="X98" s="117">
        <f t="shared" si="56"/>
        <v>40</v>
      </c>
      <c r="Y98" s="107">
        <f t="shared" si="57"/>
        <v>156</v>
      </c>
      <c r="Z98" s="108">
        <f t="shared" si="58"/>
        <v>0.25641025641025639</v>
      </c>
      <c r="AA98" s="100"/>
      <c r="AB98" s="107">
        <f t="shared" si="59"/>
        <v>116</v>
      </c>
      <c r="AC98" s="107">
        <f t="shared" si="61"/>
        <v>185</v>
      </c>
      <c r="AD98" s="109">
        <f t="shared" si="60"/>
        <v>0.62702702702702706</v>
      </c>
      <c r="AF98" s="161">
        <f t="shared" ref="AF98" si="62">AC98/$AC$98</f>
        <v>1</v>
      </c>
    </row>
    <row r="99" spans="1:34" ht="15" thickBot="1" x14ac:dyDescent="0.4">
      <c r="A99" s="95"/>
      <c r="B99" s="96" t="s">
        <v>59</v>
      </c>
      <c r="C99" s="152">
        <f t="shared" si="49"/>
        <v>4</v>
      </c>
      <c r="D99" s="152">
        <f t="shared" si="49"/>
        <v>0</v>
      </c>
      <c r="E99" s="152">
        <f t="shared" si="49"/>
        <v>0</v>
      </c>
      <c r="F99" s="152">
        <f t="shared" si="49"/>
        <v>0</v>
      </c>
      <c r="G99" s="111"/>
      <c r="H99" s="95"/>
      <c r="I99" s="96" t="s">
        <v>59</v>
      </c>
      <c r="J99" s="117">
        <f t="shared" si="50"/>
        <v>0</v>
      </c>
      <c r="K99" s="107">
        <f t="shared" si="51"/>
        <v>4</v>
      </c>
      <c r="L99" s="108">
        <f t="shared" si="52"/>
        <v>0</v>
      </c>
      <c r="M99" s="100"/>
      <c r="N99" s="107">
        <f t="shared" si="53"/>
        <v>4</v>
      </c>
      <c r="O99" s="107">
        <f t="shared" si="54"/>
        <v>4</v>
      </c>
      <c r="P99" s="108">
        <f t="shared" si="55"/>
        <v>1</v>
      </c>
      <c r="Q99" s="324"/>
      <c r="R99" s="325"/>
      <c r="S99" s="325"/>
      <c r="T99" s="326"/>
      <c r="U99" s="111"/>
      <c r="V99" s="95"/>
      <c r="W99" s="96" t="s">
        <v>59</v>
      </c>
      <c r="X99" s="117">
        <f t="shared" si="56"/>
        <v>0</v>
      </c>
      <c r="Y99" s="107">
        <f t="shared" si="57"/>
        <v>4</v>
      </c>
      <c r="Z99" s="108">
        <f t="shared" si="58"/>
        <v>0</v>
      </c>
      <c r="AA99" s="100"/>
      <c r="AB99" s="107">
        <f t="shared" si="59"/>
        <v>4</v>
      </c>
      <c r="AC99" s="107">
        <f t="shared" si="61"/>
        <v>4</v>
      </c>
      <c r="AD99" s="109">
        <f t="shared" si="60"/>
        <v>1</v>
      </c>
    </row>
    <row r="100" spans="1:34" ht="15" thickBot="1" x14ac:dyDescent="0.4">
      <c r="A100" s="488" t="s">
        <v>312</v>
      </c>
      <c r="B100" s="489"/>
      <c r="C100" s="152">
        <f t="shared" si="49"/>
        <v>120</v>
      </c>
      <c r="D100" s="152">
        <f t="shared" si="49"/>
        <v>38</v>
      </c>
      <c r="E100" s="152">
        <f t="shared" si="49"/>
        <v>29</v>
      </c>
      <c r="F100" s="152">
        <f t="shared" si="49"/>
        <v>2</v>
      </c>
      <c r="G100" s="111"/>
      <c r="H100" s="488" t="s">
        <v>312</v>
      </c>
      <c r="I100" s="489"/>
      <c r="J100" s="117">
        <f t="shared" si="50"/>
        <v>38</v>
      </c>
      <c r="K100" s="107">
        <f t="shared" si="51"/>
        <v>158</v>
      </c>
      <c r="L100" s="108">
        <f t="shared" si="52"/>
        <v>0.24050632911392406</v>
      </c>
      <c r="M100" s="100"/>
      <c r="N100" s="107">
        <f t="shared" si="53"/>
        <v>120</v>
      </c>
      <c r="O100" s="107">
        <f t="shared" si="54"/>
        <v>187</v>
      </c>
      <c r="P100" s="108">
        <f t="shared" si="55"/>
        <v>0.64171122994652408</v>
      </c>
      <c r="Q100" s="327"/>
      <c r="R100" s="328"/>
      <c r="S100" s="328"/>
      <c r="T100" s="329"/>
      <c r="U100" s="111"/>
      <c r="V100" s="488" t="s">
        <v>312</v>
      </c>
      <c r="W100" s="489"/>
      <c r="X100" s="117">
        <f t="shared" si="56"/>
        <v>40</v>
      </c>
      <c r="Y100" s="107">
        <f t="shared" si="57"/>
        <v>160</v>
      </c>
      <c r="Z100" s="108">
        <f t="shared" si="58"/>
        <v>0.25</v>
      </c>
      <c r="AA100" s="100"/>
      <c r="AB100" s="107">
        <f t="shared" si="59"/>
        <v>120</v>
      </c>
      <c r="AC100" s="107">
        <f t="shared" si="61"/>
        <v>189</v>
      </c>
      <c r="AD100" s="109">
        <f t="shared" si="60"/>
        <v>0.63492063492063489</v>
      </c>
    </row>
  </sheetData>
  <mergeCells count="160">
    <mergeCell ref="V3:W3"/>
    <mergeCell ref="V4:V10"/>
    <mergeCell ref="V11:V13"/>
    <mergeCell ref="R4:T4"/>
    <mergeCell ref="R6:T6"/>
    <mergeCell ref="R8:T8"/>
    <mergeCell ref="R30:T30"/>
    <mergeCell ref="R32:T32"/>
    <mergeCell ref="R34:T34"/>
    <mergeCell ref="A1:AD1"/>
    <mergeCell ref="A2:F2"/>
    <mergeCell ref="X2:Z2"/>
    <mergeCell ref="AB2:AD2"/>
    <mergeCell ref="V14:V16"/>
    <mergeCell ref="V17:V19"/>
    <mergeCell ref="H11:H13"/>
    <mergeCell ref="H4:H10"/>
    <mergeCell ref="H3:I3"/>
    <mergeCell ref="J2:L2"/>
    <mergeCell ref="H17:H19"/>
    <mergeCell ref="A3:B3"/>
    <mergeCell ref="A4:A10"/>
    <mergeCell ref="A14:A16"/>
    <mergeCell ref="A11:A13"/>
    <mergeCell ref="A17:A19"/>
    <mergeCell ref="H14:H16"/>
    <mergeCell ref="H2:I2"/>
    <mergeCell ref="Q4:Q10"/>
    <mergeCell ref="Q11:Q13"/>
    <mergeCell ref="Q14:Q16"/>
    <mergeCell ref="Q17:Q19"/>
    <mergeCell ref="N2:P2"/>
    <mergeCell ref="V2:W2"/>
    <mergeCell ref="A28:F28"/>
    <mergeCell ref="H28:I28"/>
    <mergeCell ref="J28:L28"/>
    <mergeCell ref="N28:P28"/>
    <mergeCell ref="V28:W28"/>
    <mergeCell ref="X28:Z28"/>
    <mergeCell ref="AB28:AD28"/>
    <mergeCell ref="A20:A21"/>
    <mergeCell ref="A22:B22"/>
    <mergeCell ref="A24:B24"/>
    <mergeCell ref="H20:H21"/>
    <mergeCell ref="H22:I22"/>
    <mergeCell ref="H24:I24"/>
    <mergeCell ref="V20:V21"/>
    <mergeCell ref="V22:W22"/>
    <mergeCell ref="V24:W24"/>
    <mergeCell ref="A27:AD27"/>
    <mergeCell ref="Q20:Q21"/>
    <mergeCell ref="A37:A39"/>
    <mergeCell ref="H37:H39"/>
    <mergeCell ref="V37:V39"/>
    <mergeCell ref="A40:A42"/>
    <mergeCell ref="H40:H42"/>
    <mergeCell ref="V40:V42"/>
    <mergeCell ref="A29:B29"/>
    <mergeCell ref="H29:I29"/>
    <mergeCell ref="V29:W29"/>
    <mergeCell ref="A30:A36"/>
    <mergeCell ref="H30:H36"/>
    <mergeCell ref="V30:V36"/>
    <mergeCell ref="Q30:Q36"/>
    <mergeCell ref="Q37:Q39"/>
    <mergeCell ref="Q40:Q42"/>
    <mergeCell ref="A48:B48"/>
    <mergeCell ref="H48:I48"/>
    <mergeCell ref="V48:W48"/>
    <mergeCell ref="A50:B50"/>
    <mergeCell ref="H50:I50"/>
    <mergeCell ref="V50:W50"/>
    <mergeCell ref="A43:A45"/>
    <mergeCell ref="H43:H45"/>
    <mergeCell ref="V43:V45"/>
    <mergeCell ref="A46:A47"/>
    <mergeCell ref="H46:H47"/>
    <mergeCell ref="V46:V47"/>
    <mergeCell ref="Q43:Q45"/>
    <mergeCell ref="Q46:Q47"/>
    <mergeCell ref="A54:B54"/>
    <mergeCell ref="H54:I54"/>
    <mergeCell ref="V54:W54"/>
    <mergeCell ref="A55:A61"/>
    <mergeCell ref="H55:H61"/>
    <mergeCell ref="V55:V61"/>
    <mergeCell ref="A52:AD52"/>
    <mergeCell ref="A53:F53"/>
    <mergeCell ref="H53:I53"/>
    <mergeCell ref="J53:L53"/>
    <mergeCell ref="N53:P53"/>
    <mergeCell ref="V53:W53"/>
    <mergeCell ref="X53:Z53"/>
    <mergeCell ref="AB53:AD53"/>
    <mergeCell ref="Q55:Q61"/>
    <mergeCell ref="R55:T55"/>
    <mergeCell ref="R57:T57"/>
    <mergeCell ref="R59:T59"/>
    <mergeCell ref="A68:A70"/>
    <mergeCell ref="H68:H70"/>
    <mergeCell ref="V68:V70"/>
    <mergeCell ref="A71:A72"/>
    <mergeCell ref="H71:H72"/>
    <mergeCell ref="V71:V72"/>
    <mergeCell ref="A62:A64"/>
    <mergeCell ref="H62:H64"/>
    <mergeCell ref="V62:V64"/>
    <mergeCell ref="A65:A67"/>
    <mergeCell ref="H65:H67"/>
    <mergeCell ref="V65:V67"/>
    <mergeCell ref="Q62:Q64"/>
    <mergeCell ref="Q65:Q67"/>
    <mergeCell ref="Q68:Q70"/>
    <mergeCell ref="Q71:Q72"/>
    <mergeCell ref="A77:AD77"/>
    <mergeCell ref="A78:F78"/>
    <mergeCell ref="H78:I78"/>
    <mergeCell ref="J78:L78"/>
    <mergeCell ref="N78:P78"/>
    <mergeCell ref="V78:W78"/>
    <mergeCell ref="X78:Z78"/>
    <mergeCell ref="AB78:AD78"/>
    <mergeCell ref="A73:B73"/>
    <mergeCell ref="H73:I73"/>
    <mergeCell ref="V73:W73"/>
    <mergeCell ref="A75:B75"/>
    <mergeCell ref="H75:I75"/>
    <mergeCell ref="V75:W75"/>
    <mergeCell ref="A87:A89"/>
    <mergeCell ref="H87:H89"/>
    <mergeCell ref="V87:V89"/>
    <mergeCell ref="A90:A92"/>
    <mergeCell ref="H90:H92"/>
    <mergeCell ref="V90:V92"/>
    <mergeCell ref="A79:B79"/>
    <mergeCell ref="H79:I79"/>
    <mergeCell ref="V79:W79"/>
    <mergeCell ref="A80:A86"/>
    <mergeCell ref="H80:H86"/>
    <mergeCell ref="V80:V86"/>
    <mergeCell ref="Q80:Q86"/>
    <mergeCell ref="Q87:Q89"/>
    <mergeCell ref="Q90:Q92"/>
    <mergeCell ref="R80:T80"/>
    <mergeCell ref="R82:T82"/>
    <mergeCell ref="R84:T84"/>
    <mergeCell ref="A98:B98"/>
    <mergeCell ref="H98:I98"/>
    <mergeCell ref="V98:W98"/>
    <mergeCell ref="A100:B100"/>
    <mergeCell ref="H100:I100"/>
    <mergeCell ref="V100:W100"/>
    <mergeCell ref="A93:A95"/>
    <mergeCell ref="H93:H95"/>
    <mergeCell ref="V93:V95"/>
    <mergeCell ref="A96:A97"/>
    <mergeCell ref="H96:H97"/>
    <mergeCell ref="V96:V97"/>
    <mergeCell ref="Q93:Q95"/>
    <mergeCell ref="Q96:Q97"/>
  </mergeCells>
  <pageMargins left="0.7" right="0.7" top="0.75" bottom="0.75" header="0.3" footer="0.3"/>
  <pageSetup paperSize="9" orientation="portrait" verticalDpi="0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FA5B8D-123E-4BAB-8C4C-8D2695BC3D67}">
  <sheetPr codeName="Feuil15"/>
  <dimension ref="A1:AB370"/>
  <sheetViews>
    <sheetView zoomScale="70" zoomScaleNormal="70" workbookViewId="0">
      <selection activeCell="F4" sqref="F4"/>
    </sheetView>
  </sheetViews>
  <sheetFormatPr baseColWidth="10" defaultRowHeight="14.5" x14ac:dyDescent="0.35"/>
  <cols>
    <col min="2" max="2" width="23.08984375" customWidth="1"/>
    <col min="3" max="3" width="6.36328125" customWidth="1"/>
    <col min="4" max="4" width="6.26953125" customWidth="1"/>
    <col min="5" max="5" width="5.453125" customWidth="1"/>
    <col min="6" max="6" width="7.453125" customWidth="1"/>
    <col min="7" max="7" width="3" customWidth="1"/>
    <col min="9" max="9" width="24.90625" customWidth="1"/>
    <col min="17" max="17" width="4.54296875" customWidth="1"/>
    <col min="18" max="18" width="16.26953125" customWidth="1"/>
    <col min="20" max="20" width="25.08984375" customWidth="1"/>
    <col min="22" max="22" width="13.26953125" bestFit="1" customWidth="1"/>
  </cols>
  <sheetData>
    <row r="1" spans="1:23" ht="36.5" customHeight="1" thickBot="1" x14ac:dyDescent="0.4">
      <c r="A1" s="514" t="s">
        <v>425</v>
      </c>
      <c r="B1" s="515"/>
      <c r="C1" s="515"/>
      <c r="D1" s="515"/>
      <c r="E1" s="515"/>
      <c r="F1" s="515"/>
      <c r="G1" s="121"/>
      <c r="H1" s="425" t="s">
        <v>333</v>
      </c>
      <c r="I1" s="425"/>
      <c r="J1" s="425"/>
      <c r="K1" s="425"/>
      <c r="L1" s="425"/>
      <c r="M1" s="425"/>
      <c r="N1" s="425"/>
      <c r="O1" s="425"/>
      <c r="P1" s="425"/>
      <c r="Q1" s="121"/>
      <c r="R1" s="124" t="s">
        <v>335</v>
      </c>
      <c r="S1" s="425" t="s">
        <v>334</v>
      </c>
      <c r="T1" s="425"/>
      <c r="U1" s="425"/>
      <c r="V1" s="425"/>
      <c r="W1" s="426"/>
    </row>
    <row r="2" spans="1:23" ht="25.5" customHeight="1" thickBot="1" x14ac:dyDescent="0.4">
      <c r="A2" s="403" t="s">
        <v>5</v>
      </c>
      <c r="B2" s="512"/>
      <c r="C2" s="118" t="s">
        <v>33</v>
      </c>
      <c r="D2" s="118" t="s">
        <v>20</v>
      </c>
      <c r="E2" s="118" t="s">
        <v>10</v>
      </c>
      <c r="F2" s="118" t="s">
        <v>277</v>
      </c>
      <c r="G2" s="62"/>
      <c r="H2" s="513" t="s">
        <v>5</v>
      </c>
      <c r="I2" s="421"/>
      <c r="J2" s="93" t="s">
        <v>33</v>
      </c>
      <c r="K2" s="119" t="s">
        <v>326</v>
      </c>
      <c r="L2" s="317" t="s">
        <v>150</v>
      </c>
      <c r="M2" s="310"/>
      <c r="N2" s="320" t="s">
        <v>33</v>
      </c>
      <c r="O2" s="320" t="s">
        <v>326</v>
      </c>
      <c r="P2" s="321" t="s">
        <v>150</v>
      </c>
      <c r="Q2" s="62"/>
      <c r="R2" s="125">
        <f>'Matchs joués'!B5</f>
        <v>4</v>
      </c>
      <c r="S2" s="513" t="s">
        <v>5</v>
      </c>
      <c r="T2" s="421"/>
      <c r="U2" s="93" t="s">
        <v>33</v>
      </c>
      <c r="V2" s="119" t="s">
        <v>326</v>
      </c>
      <c r="W2" s="120" t="s">
        <v>150</v>
      </c>
    </row>
    <row r="3" spans="1:23" ht="15" thickBot="1" x14ac:dyDescent="0.4">
      <c r="A3" s="407" t="s">
        <v>295</v>
      </c>
      <c r="B3" s="87" t="s">
        <v>15</v>
      </c>
      <c r="C3" s="152">
        <f>COUNTIFS('Données brutes'!F:F,"But",'Données brutes'!E:E,"NAEMI",'Données brutes'!G:G,"ALG")</f>
        <v>1</v>
      </c>
      <c r="D3" s="90">
        <f>COUNTIFS('Données brutes'!F:F,"Ar GB",'Données brutes'!E:E,"NAEMI",'Données brutes'!G:G,"ALG")</f>
        <v>3</v>
      </c>
      <c r="E3" s="90">
        <f>COUNTIFS('Données brutes'!F:F,"HC",'Données brutes'!E:E,"NAEMI",'Données brutes'!G:G,"ALG")</f>
        <v>4</v>
      </c>
      <c r="F3" s="90">
        <f>COUNTIFS('Données brutes'!F:F,"tir raté NC",'Données brutes'!E:E,"NAEMI",'Données brutes'!G:G,"ALG")</f>
        <v>0</v>
      </c>
      <c r="G3" s="121"/>
      <c r="H3" s="407" t="s">
        <v>295</v>
      </c>
      <c r="I3" s="32" t="s">
        <v>15</v>
      </c>
      <c r="J3" s="91">
        <f>$C3</f>
        <v>1</v>
      </c>
      <c r="K3" s="90">
        <f>$C3+$D3+$E3</f>
        <v>8</v>
      </c>
      <c r="L3" s="318">
        <f>J3/K3</f>
        <v>0.125</v>
      </c>
      <c r="M3" s="404" t="s">
        <v>295</v>
      </c>
      <c r="N3" s="496" t="s">
        <v>394</v>
      </c>
      <c r="O3" s="496"/>
      <c r="P3" s="497"/>
      <c r="Q3" s="62"/>
      <c r="R3" s="62"/>
      <c r="S3" s="407" t="s">
        <v>295</v>
      </c>
      <c r="T3" s="32" t="s">
        <v>15</v>
      </c>
      <c r="U3" s="91">
        <f>$J3/$R$2</f>
        <v>0.25</v>
      </c>
      <c r="V3" s="90">
        <f>$K3/$R$2</f>
        <v>2</v>
      </c>
      <c r="W3" s="92">
        <f>U3/V3</f>
        <v>0.125</v>
      </c>
    </row>
    <row r="4" spans="1:23" ht="15" thickBot="1" x14ac:dyDescent="0.4">
      <c r="A4" s="404"/>
      <c r="B4" s="13" t="s">
        <v>282</v>
      </c>
      <c r="C4" s="153">
        <f>COUNTIFS('Données brutes'!F:F,"But",'Données brutes'!E:E,"NAEMI",'Données brutes'!G:G,"1 2")</f>
        <v>0</v>
      </c>
      <c r="D4" s="61">
        <f>COUNTIFS('Données brutes'!F:F,"Ar GB",'Données brutes'!E:E,"NAEMI",'Données brutes'!G:G,"1 2")</f>
        <v>0</v>
      </c>
      <c r="E4" s="61">
        <f>COUNTIFS('Données brutes'!F:F,"HC",'Données brutes'!E:E,"NAEMI",'Données brutes'!G:G,"1 2")</f>
        <v>0</v>
      </c>
      <c r="F4" s="90">
        <f>COUNTIFS('Données brutes'!F:F,"tir raté NC",'Données brutes'!E:E,"NAEMI",'Données brutes'!G:G,"1 2")</f>
        <v>0</v>
      </c>
      <c r="G4" s="62"/>
      <c r="H4" s="404"/>
      <c r="I4" s="33" t="s">
        <v>282</v>
      </c>
      <c r="J4" s="91">
        <f t="shared" ref="J4:J23" si="0">$C4</f>
        <v>0</v>
      </c>
      <c r="K4" s="90">
        <f t="shared" ref="K4:K23" si="1">$C4+$D4+$E4</f>
        <v>0</v>
      </c>
      <c r="L4" s="318" t="e">
        <f t="shared" ref="L4:L23" si="2">J4/K4</f>
        <v>#DIV/0!</v>
      </c>
      <c r="M4" s="404"/>
      <c r="N4" s="319">
        <f>J3+J9</f>
        <v>1</v>
      </c>
      <c r="O4" s="319">
        <f>K3+K9</f>
        <v>8</v>
      </c>
      <c r="P4" s="322">
        <f>N4/O4</f>
        <v>0.125</v>
      </c>
      <c r="Q4" s="62"/>
      <c r="R4" s="62"/>
      <c r="S4" s="404"/>
      <c r="T4" s="33" t="s">
        <v>282</v>
      </c>
      <c r="U4" s="91">
        <f t="shared" ref="U4:U23" si="3">$J4/$R$2</f>
        <v>0</v>
      </c>
      <c r="V4" s="90">
        <f t="shared" ref="V4:V23" si="4">$K4/$R$2</f>
        <v>0</v>
      </c>
      <c r="W4" s="92" t="e">
        <f t="shared" ref="W4:W23" si="5">U4/V4</f>
        <v>#DIV/0!</v>
      </c>
    </row>
    <row r="5" spans="1:23" ht="15" thickBot="1" x14ac:dyDescent="0.4">
      <c r="A5" s="404"/>
      <c r="B5" s="13" t="s">
        <v>297</v>
      </c>
      <c r="C5" s="153">
        <f>COUNTIFS('Données brutes'!F:F,"But",'Données brutes'!E:E,"NAEMI",'Données brutes'!G:G,"2 3")</f>
        <v>0</v>
      </c>
      <c r="D5" s="61">
        <f>COUNTIFS('Données brutes'!F:F,"Ar GB",'Données brutes'!E:E,"NAEMI",'Données brutes'!G:G,"2 3")</f>
        <v>0</v>
      </c>
      <c r="E5" s="61">
        <f>COUNTIFS('Données brutes'!F:F,"HC",'Données brutes'!E:E,"NAEMI",'Données brutes'!G:G,"2 3")</f>
        <v>0</v>
      </c>
      <c r="F5" s="90">
        <f>COUNTIFS('Données brutes'!F:F,"tir raté NC",'Données brutes'!E:E,"NAEMI",'Données brutes'!G:G,"2 3")</f>
        <v>0</v>
      </c>
      <c r="G5" s="62"/>
      <c r="H5" s="404"/>
      <c r="I5" s="33" t="s">
        <v>297</v>
      </c>
      <c r="J5" s="91">
        <f t="shared" si="0"/>
        <v>0</v>
      </c>
      <c r="K5" s="90">
        <f t="shared" si="1"/>
        <v>0</v>
      </c>
      <c r="L5" s="318" t="e">
        <f t="shared" si="2"/>
        <v>#DIV/0!</v>
      </c>
      <c r="M5" s="404"/>
      <c r="N5" s="498" t="s">
        <v>395</v>
      </c>
      <c r="O5" s="498"/>
      <c r="P5" s="499"/>
      <c r="Q5" s="62"/>
      <c r="R5" s="62"/>
      <c r="S5" s="404"/>
      <c r="T5" s="33" t="s">
        <v>297</v>
      </c>
      <c r="U5" s="91">
        <f t="shared" si="3"/>
        <v>0</v>
      </c>
      <c r="V5" s="90">
        <f t="shared" si="4"/>
        <v>0</v>
      </c>
      <c r="W5" s="92" t="e">
        <f t="shared" si="5"/>
        <v>#DIV/0!</v>
      </c>
    </row>
    <row r="6" spans="1:23" ht="15" thickBot="1" x14ac:dyDescent="0.4">
      <c r="A6" s="404"/>
      <c r="B6" s="13" t="s">
        <v>296</v>
      </c>
      <c r="C6" s="153">
        <f>COUNTIFS('Données brutes'!F:F,"But",'Données brutes'!E:E,"NAEMI",'Données brutes'!G:G,"3 4")</f>
        <v>0</v>
      </c>
      <c r="D6" s="61">
        <f>COUNTIFS('Données brutes'!F:F,"Ar GB",'Données brutes'!E:E,"NAEMI",'Données brutes'!G:G,"3 4")</f>
        <v>0</v>
      </c>
      <c r="E6" s="61">
        <f>COUNTIFS('Données brutes'!F:F,"HC",'Données brutes'!E:E,"NAEMI",'Données brutes'!G:G,"3 4")</f>
        <v>0</v>
      </c>
      <c r="F6" s="90">
        <f>COUNTIFS('Données brutes'!F:F,"tir raté NC",'Données brutes'!E:E,"NAEMI",'Données brutes'!G:G,"3 4")</f>
        <v>0</v>
      </c>
      <c r="G6" s="62"/>
      <c r="H6" s="404"/>
      <c r="I6" s="33" t="s">
        <v>296</v>
      </c>
      <c r="J6" s="91">
        <f t="shared" si="0"/>
        <v>0</v>
      </c>
      <c r="K6" s="90">
        <f t="shared" si="1"/>
        <v>0</v>
      </c>
      <c r="L6" s="318" t="e">
        <f t="shared" si="2"/>
        <v>#DIV/0!</v>
      </c>
      <c r="M6" s="404"/>
      <c r="N6" s="319">
        <f>J4+J8</f>
        <v>0</v>
      </c>
      <c r="O6" s="319">
        <f>K4+K8</f>
        <v>0</v>
      </c>
      <c r="P6" s="323" t="e">
        <f>N6/O6</f>
        <v>#DIV/0!</v>
      </c>
      <c r="Q6" s="62"/>
      <c r="R6" s="62"/>
      <c r="S6" s="404"/>
      <c r="T6" s="33" t="s">
        <v>296</v>
      </c>
      <c r="U6" s="91">
        <f t="shared" si="3"/>
        <v>0</v>
      </c>
      <c r="V6" s="90">
        <f t="shared" si="4"/>
        <v>0</v>
      </c>
      <c r="W6" s="92" t="e">
        <f t="shared" si="5"/>
        <v>#DIV/0!</v>
      </c>
    </row>
    <row r="7" spans="1:23" ht="15" thickBot="1" x14ac:dyDescent="0.4">
      <c r="A7" s="404"/>
      <c r="B7" s="13" t="s">
        <v>298</v>
      </c>
      <c r="C7" s="153">
        <f>COUNTIFS('Données brutes'!F:F,"But",'Données brutes'!E:E,"NAEMI",'Données brutes'!G:G,"4 5")</f>
        <v>0</v>
      </c>
      <c r="D7" s="61">
        <f>COUNTIFS('Données brutes'!F:F,"Ar GB",'Données brutes'!E:E,"NAEMI",'Données brutes'!G:G,"4 5")</f>
        <v>0</v>
      </c>
      <c r="E7" s="61">
        <f>COUNTIFS('Données brutes'!F:F,"HC",'Données brutes'!E:E,"NAEMI",'Données brutes'!G:G,"4 5")</f>
        <v>0</v>
      </c>
      <c r="F7" s="90">
        <f>COUNTIFS('Données brutes'!F:F,"tir raté NC",'Données brutes'!E:E,"NAEMI",'Données brutes'!G:G,"4 5")</f>
        <v>0</v>
      </c>
      <c r="G7" s="62"/>
      <c r="H7" s="404"/>
      <c r="I7" s="33" t="s">
        <v>298</v>
      </c>
      <c r="J7" s="91">
        <f t="shared" si="0"/>
        <v>0</v>
      </c>
      <c r="K7" s="90">
        <f t="shared" si="1"/>
        <v>0</v>
      </c>
      <c r="L7" s="318" t="e">
        <f t="shared" si="2"/>
        <v>#DIV/0!</v>
      </c>
      <c r="M7" s="404"/>
      <c r="N7" s="498" t="s">
        <v>396</v>
      </c>
      <c r="O7" s="498"/>
      <c r="P7" s="499"/>
      <c r="Q7" s="62"/>
      <c r="R7" s="62"/>
      <c r="S7" s="404"/>
      <c r="T7" s="33" t="s">
        <v>298</v>
      </c>
      <c r="U7" s="91">
        <f t="shared" si="3"/>
        <v>0</v>
      </c>
      <c r="V7" s="90">
        <f t="shared" si="4"/>
        <v>0</v>
      </c>
      <c r="W7" s="92" t="e">
        <f t="shared" si="5"/>
        <v>#DIV/0!</v>
      </c>
    </row>
    <row r="8" spans="1:23" ht="15" thickBot="1" x14ac:dyDescent="0.4">
      <c r="A8" s="404"/>
      <c r="B8" s="13" t="s">
        <v>283</v>
      </c>
      <c r="C8" s="153">
        <f>COUNTIFS('Données brutes'!F:F,"But",'Données brutes'!E:E,"NAEMI",'Données brutes'!G:G,"5 6")</f>
        <v>0</v>
      </c>
      <c r="D8" s="61">
        <f>COUNTIFS('Données brutes'!F:F,"Ar GB",'Données brutes'!E:E,"NAEMI",'Données brutes'!G:G,"5 6")</f>
        <v>0</v>
      </c>
      <c r="E8" s="61">
        <f>COUNTIFS('Données brutes'!F:F,"HC",'Données brutes'!E:E,"NAEMI",'Données brutes'!G:G,"5 6")</f>
        <v>0</v>
      </c>
      <c r="F8" s="90">
        <f>COUNTIFS('Données brutes'!F:F,"tir raté NC",'Données brutes'!E:E,"NAEMI",'Données brutes'!G:G,"5 6")</f>
        <v>0</v>
      </c>
      <c r="G8" s="62"/>
      <c r="H8" s="404"/>
      <c r="I8" s="33" t="s">
        <v>283</v>
      </c>
      <c r="J8" s="91">
        <f t="shared" si="0"/>
        <v>0</v>
      </c>
      <c r="K8" s="90">
        <f t="shared" si="1"/>
        <v>0</v>
      </c>
      <c r="L8" s="318" t="e">
        <f t="shared" si="2"/>
        <v>#DIV/0!</v>
      </c>
      <c r="M8" s="404"/>
      <c r="N8" s="319">
        <f>J5+J6+J7</f>
        <v>0</v>
      </c>
      <c r="O8" s="319">
        <f>K5+K6+K7</f>
        <v>0</v>
      </c>
      <c r="P8" s="322" t="e">
        <f>N8/O8</f>
        <v>#DIV/0!</v>
      </c>
      <c r="Q8" s="62"/>
      <c r="R8" s="62"/>
      <c r="S8" s="404"/>
      <c r="T8" s="33" t="s">
        <v>283</v>
      </c>
      <c r="U8" s="91">
        <f t="shared" si="3"/>
        <v>0</v>
      </c>
      <c r="V8" s="90">
        <f t="shared" si="4"/>
        <v>0</v>
      </c>
      <c r="W8" s="92" t="e">
        <f t="shared" si="5"/>
        <v>#DIV/0!</v>
      </c>
    </row>
    <row r="9" spans="1:23" ht="15" thickBot="1" x14ac:dyDescent="0.4">
      <c r="A9" s="490"/>
      <c r="B9" s="36" t="s">
        <v>17</v>
      </c>
      <c r="C9" s="154">
        <f>COUNTIFS('Données brutes'!F:F,"But",'Données brutes'!E:E,"NAEMI",'Données brutes'!G:G,"ALD")</f>
        <v>0</v>
      </c>
      <c r="D9" s="155">
        <f>COUNTIFS('Données brutes'!F:F,"Ar GB",'Données brutes'!E:E,"NAEMI",'Données brutes'!G:G,"ALD")</f>
        <v>0</v>
      </c>
      <c r="E9" s="155">
        <f>COUNTIFS('Données brutes'!F:F,"HC",'Données brutes'!E:E,"NAEMI",'Données brutes'!G:G,"ALD")</f>
        <v>0</v>
      </c>
      <c r="F9" s="90">
        <f>COUNTIFS('Données brutes'!F:F,"tir raté NC",'Données brutes'!E:E,"NAEMI",'Données brutes'!G:G,"ALD")</f>
        <v>0</v>
      </c>
      <c r="G9" s="122"/>
      <c r="H9" s="490"/>
      <c r="I9" s="73" t="s">
        <v>17</v>
      </c>
      <c r="J9" s="91">
        <f t="shared" si="0"/>
        <v>0</v>
      </c>
      <c r="K9" s="90">
        <f t="shared" si="1"/>
        <v>0</v>
      </c>
      <c r="L9" s="318" t="e">
        <f t="shared" si="2"/>
        <v>#DIV/0!</v>
      </c>
      <c r="M9" s="404"/>
      <c r="N9" s="325"/>
      <c r="O9" s="325"/>
      <c r="P9" s="326"/>
      <c r="Q9" s="62"/>
      <c r="R9" s="62"/>
      <c r="S9" s="490"/>
      <c r="T9" s="73" t="s">
        <v>17</v>
      </c>
      <c r="U9" s="91">
        <f t="shared" si="3"/>
        <v>0</v>
      </c>
      <c r="V9" s="90">
        <f t="shared" si="4"/>
        <v>0</v>
      </c>
      <c r="W9" s="92" t="e">
        <f t="shared" si="5"/>
        <v>#DIV/0!</v>
      </c>
    </row>
    <row r="10" spans="1:23" ht="15" thickBot="1" x14ac:dyDescent="0.4">
      <c r="A10" s="491" t="s">
        <v>299</v>
      </c>
      <c r="B10" s="87" t="s">
        <v>301</v>
      </c>
      <c r="C10" s="152">
        <f>COUNTIFS('Données brutes'!F:F,"But",'Données brutes'!E:E,"NAEMI",'Données brutes'!G:G,"Central 7m 9m appui")</f>
        <v>0</v>
      </c>
      <c r="D10" s="90">
        <f>COUNTIFS('Données brutes'!F:F,"Ar GB",'Données brutes'!E:E,"NAEMI",'Données brutes'!G:G,"Central 7m 9m appui")</f>
        <v>0</v>
      </c>
      <c r="E10" s="90">
        <f>COUNTIFS('Données brutes'!F:F,"HC",'Données brutes'!E:E,"NAEMI",'Données brutes'!G:G,"Central 7m 9m appui")</f>
        <v>0</v>
      </c>
      <c r="F10" s="90">
        <f>COUNTIFS('Données brutes'!F:F,"tir raté NC",'Données brutes'!E:E,"NAEMI",'Données brutes'!G:G,"ALD")</f>
        <v>0</v>
      </c>
      <c r="G10" s="121"/>
      <c r="H10" s="491" t="s">
        <v>299</v>
      </c>
      <c r="I10" s="32" t="s">
        <v>301</v>
      </c>
      <c r="J10" s="91">
        <f t="shared" si="0"/>
        <v>0</v>
      </c>
      <c r="K10" s="90">
        <f t="shared" si="1"/>
        <v>0</v>
      </c>
      <c r="L10" s="318" t="e">
        <f t="shared" si="2"/>
        <v>#DIV/0!</v>
      </c>
      <c r="M10" s="495" t="s">
        <v>299</v>
      </c>
      <c r="N10" s="319">
        <f>SUM(J10:J12)</f>
        <v>0</v>
      </c>
      <c r="O10" s="319">
        <f>SUM(K10:K12)</f>
        <v>0</v>
      </c>
      <c r="P10" s="322" t="e">
        <f>N10/O10</f>
        <v>#DIV/0!</v>
      </c>
      <c r="Q10" s="62"/>
      <c r="R10" s="62"/>
      <c r="S10" s="491" t="s">
        <v>299</v>
      </c>
      <c r="T10" s="32" t="s">
        <v>301</v>
      </c>
      <c r="U10" s="91">
        <f t="shared" si="3"/>
        <v>0</v>
      </c>
      <c r="V10" s="90">
        <f t="shared" si="4"/>
        <v>0</v>
      </c>
      <c r="W10" s="92" t="e">
        <f t="shared" si="5"/>
        <v>#DIV/0!</v>
      </c>
    </row>
    <row r="11" spans="1:23" ht="15" thickBot="1" x14ac:dyDescent="0.4">
      <c r="A11" s="495"/>
      <c r="B11" s="13" t="s">
        <v>302</v>
      </c>
      <c r="C11" s="153">
        <f>COUNTIFS('Données brutes'!F:F,"But",'Données brutes'!E:E,"NAEMI",'Données brutes'!G:G,"7m 9m Ext G appui")</f>
        <v>0</v>
      </c>
      <c r="D11" s="61">
        <f>COUNTIFS('Données brutes'!F:F,"Ar GB",'Données brutes'!E:E,"NAEMI",'Données brutes'!G:G,"7m 9m Ext G appui")</f>
        <v>0</v>
      </c>
      <c r="E11" s="61">
        <f>COUNTIFS('Données brutes'!F:F,"HC",'Données brutes'!E:E,"NAEMI",'Données brutes'!G:G,"7m 9m Ext G appui")</f>
        <v>0</v>
      </c>
      <c r="F11" s="90">
        <f>COUNTIFS('Données brutes'!F:F,"tir raté NC",'Données brutes'!E:E,"NAEMI",'Données brutes'!G:G,"7m 9m Ext G appui")</f>
        <v>0</v>
      </c>
      <c r="G11" s="62"/>
      <c r="H11" s="495"/>
      <c r="I11" s="33" t="s">
        <v>302</v>
      </c>
      <c r="J11" s="91">
        <f t="shared" si="0"/>
        <v>0</v>
      </c>
      <c r="K11" s="90">
        <f t="shared" si="1"/>
        <v>0</v>
      </c>
      <c r="L11" s="318" t="e">
        <f t="shared" si="2"/>
        <v>#DIV/0!</v>
      </c>
      <c r="M11" s="495"/>
      <c r="N11" s="325"/>
      <c r="O11" s="325"/>
      <c r="P11" s="326"/>
      <c r="Q11" s="62"/>
      <c r="R11" s="62"/>
      <c r="S11" s="495"/>
      <c r="T11" s="33" t="s">
        <v>302</v>
      </c>
      <c r="U11" s="91">
        <f t="shared" si="3"/>
        <v>0</v>
      </c>
      <c r="V11" s="90">
        <f t="shared" si="4"/>
        <v>0</v>
      </c>
      <c r="W11" s="92" t="e">
        <f t="shared" si="5"/>
        <v>#DIV/0!</v>
      </c>
    </row>
    <row r="12" spans="1:23" ht="15" thickBot="1" x14ac:dyDescent="0.4">
      <c r="A12" s="492"/>
      <c r="B12" s="36" t="s">
        <v>303</v>
      </c>
      <c r="C12" s="154">
        <f>COUNTIFS('Données brutes'!F:F,"But",'Données brutes'!E:E,"NAEMI",'Données brutes'!G:G,"7m 9m Ext D appui")</f>
        <v>0</v>
      </c>
      <c r="D12" s="155">
        <f>COUNTIFS('Données brutes'!F:F,"Ar GB",'Données brutes'!E:E,"NAEMI",'Données brutes'!G:G,"7m 9m Ext D appui")</f>
        <v>0</v>
      </c>
      <c r="E12" s="155">
        <f>COUNTIFS('Données brutes'!F:F,"HC",'Données brutes'!E:E,"NAEMI",'Données brutes'!G:G,"7m 9m Ext D appui")</f>
        <v>0</v>
      </c>
      <c r="F12" s="90">
        <f>COUNTIFS('Données brutes'!F:F,"tir raté NC",'Données brutes'!E:E,"NAEMI",'Données brutes'!G:G,"ALD")</f>
        <v>0</v>
      </c>
      <c r="G12" s="122"/>
      <c r="H12" s="492"/>
      <c r="I12" s="73" t="s">
        <v>303</v>
      </c>
      <c r="J12" s="91">
        <f t="shared" si="0"/>
        <v>0</v>
      </c>
      <c r="K12" s="90">
        <f t="shared" si="1"/>
        <v>0</v>
      </c>
      <c r="L12" s="318" t="e">
        <f t="shared" si="2"/>
        <v>#DIV/0!</v>
      </c>
      <c r="M12" s="495"/>
      <c r="N12" s="325"/>
      <c r="O12" s="325"/>
      <c r="P12" s="326"/>
      <c r="Q12" s="62"/>
      <c r="R12" s="62"/>
      <c r="S12" s="492"/>
      <c r="T12" s="73" t="s">
        <v>303</v>
      </c>
      <c r="U12" s="91">
        <f t="shared" si="3"/>
        <v>0</v>
      </c>
      <c r="V12" s="90">
        <f t="shared" si="4"/>
        <v>0</v>
      </c>
      <c r="W12" s="92" t="e">
        <f t="shared" si="5"/>
        <v>#DIV/0!</v>
      </c>
    </row>
    <row r="13" spans="1:23" ht="15" thickBot="1" x14ac:dyDescent="0.4">
      <c r="A13" s="493" t="s">
        <v>300</v>
      </c>
      <c r="B13" s="87" t="s">
        <v>304</v>
      </c>
      <c r="C13" s="152">
        <f>COUNTIFS('Données brutes'!F:F,"But",'Données brutes'!E:E,"NAEMI",'Données brutes'!G:G,"7m 9m central suspension")</f>
        <v>0</v>
      </c>
      <c r="D13" s="90">
        <f>COUNTIFS('Données brutes'!F:F,"Ar GB",'Données brutes'!E:E,"NAEMI",'Données brutes'!G:G,"7m 9m central suspension")</f>
        <v>0</v>
      </c>
      <c r="E13" s="90">
        <f>COUNTIFS('Données brutes'!F:F,"HC",'Données brutes'!E:E,"NAEMI",'Données brutes'!G:G,"7m 9m central suspension")</f>
        <v>0</v>
      </c>
      <c r="F13" s="90">
        <f>COUNTIFS('Données brutes'!F:F,"tir raté NC",'Données brutes'!E:E,"NAEMI",'Données brutes'!G:G,"ALD")</f>
        <v>0</v>
      </c>
      <c r="G13" s="121"/>
      <c r="H13" s="493" t="s">
        <v>300</v>
      </c>
      <c r="I13" s="32" t="s">
        <v>304</v>
      </c>
      <c r="J13" s="91">
        <f t="shared" si="0"/>
        <v>0</v>
      </c>
      <c r="K13" s="90">
        <f t="shared" si="1"/>
        <v>0</v>
      </c>
      <c r="L13" s="318" t="e">
        <f t="shared" si="2"/>
        <v>#DIV/0!</v>
      </c>
      <c r="M13" s="495" t="s">
        <v>300</v>
      </c>
      <c r="N13" s="319">
        <f>SUM(J13:J15)</f>
        <v>0</v>
      </c>
      <c r="O13" s="319">
        <f>SUM(K13:K15)</f>
        <v>0</v>
      </c>
      <c r="P13" s="322" t="e">
        <f>N13/O13</f>
        <v>#DIV/0!</v>
      </c>
      <c r="Q13" s="62"/>
      <c r="R13" s="62"/>
      <c r="S13" s="493" t="s">
        <v>300</v>
      </c>
      <c r="T13" s="32" t="s">
        <v>304</v>
      </c>
      <c r="U13" s="91">
        <f t="shared" si="3"/>
        <v>0</v>
      </c>
      <c r="V13" s="90">
        <f t="shared" si="4"/>
        <v>0</v>
      </c>
      <c r="W13" s="92" t="e">
        <f t="shared" si="5"/>
        <v>#DIV/0!</v>
      </c>
    </row>
    <row r="14" spans="1:23" ht="15" thickBot="1" x14ac:dyDescent="0.4">
      <c r="A14" s="506"/>
      <c r="B14" s="13" t="s">
        <v>305</v>
      </c>
      <c r="C14" s="153">
        <f>COUNTIFS('Données brutes'!F:F,"But",'Données brutes'!E:E,"NAEMI",'Données brutes'!G:G,"7m 9m Ext G suspension")</f>
        <v>0</v>
      </c>
      <c r="D14" s="61">
        <f>COUNTIFS('Données brutes'!F:F,"Ar GB",'Données brutes'!E:E,"NAEMI",'Données brutes'!G:G,"7m 9m Ext G suspension")</f>
        <v>0</v>
      </c>
      <c r="E14" s="61">
        <f>COUNTIFS('Données brutes'!F:F,"HC",'Données brutes'!E:E,"NAEMI",'Données brutes'!G:G,"7m 9m Ext G suspension")</f>
        <v>0</v>
      </c>
      <c r="F14" s="90">
        <f>COUNTIFS('Données brutes'!F:F,"tir raté NC",'Données brutes'!E:E,"NAEMI",'Données brutes'!G:G,"ALD")</f>
        <v>0</v>
      </c>
      <c r="G14" s="62"/>
      <c r="H14" s="506"/>
      <c r="I14" s="33" t="s">
        <v>305</v>
      </c>
      <c r="J14" s="91">
        <f t="shared" si="0"/>
        <v>0</v>
      </c>
      <c r="K14" s="90">
        <f t="shared" si="1"/>
        <v>0</v>
      </c>
      <c r="L14" s="318" t="e">
        <f t="shared" si="2"/>
        <v>#DIV/0!</v>
      </c>
      <c r="M14" s="495"/>
      <c r="N14" s="325"/>
      <c r="O14" s="325"/>
      <c r="P14" s="326"/>
      <c r="Q14" s="62"/>
      <c r="R14" s="62"/>
      <c r="S14" s="506"/>
      <c r="T14" s="33" t="s">
        <v>305</v>
      </c>
      <c r="U14" s="91">
        <f t="shared" si="3"/>
        <v>0</v>
      </c>
      <c r="V14" s="90">
        <f t="shared" si="4"/>
        <v>0</v>
      </c>
      <c r="W14" s="92" t="e">
        <f t="shared" si="5"/>
        <v>#DIV/0!</v>
      </c>
    </row>
    <row r="15" spans="1:23" ht="15" thickBot="1" x14ac:dyDescent="0.4">
      <c r="A15" s="494"/>
      <c r="B15" s="36" t="s">
        <v>306</v>
      </c>
      <c r="C15" s="153">
        <f>COUNTIFS('Données brutes'!F:F,"But",'Données brutes'!E:E,"NAEMI",'Données brutes'!G:G,"7m 9m Ext D suspension")</f>
        <v>0</v>
      </c>
      <c r="D15" s="61">
        <f>COUNTIFS('Données brutes'!F:F,"Ar GB",'Données brutes'!E:E,"NAEMI",'Données brutes'!G:G,"7m 9m Ext D suspension")</f>
        <v>0</v>
      </c>
      <c r="E15" s="61">
        <f>COUNTIFS('Données brutes'!F:F,"HC",'Données brutes'!E:E,"NAEMI",'Données brutes'!G:G,"7m 9m Ext D suspension")</f>
        <v>0</v>
      </c>
      <c r="F15" s="90">
        <f>COUNTIFS('Données brutes'!F:F,"tir raté NC",'Données brutes'!E:E,"NAEMI",'Données brutes'!G:G,"7m 9m Ext D suspension")</f>
        <v>0</v>
      </c>
      <c r="G15" s="122"/>
      <c r="H15" s="494"/>
      <c r="I15" s="73" t="s">
        <v>306</v>
      </c>
      <c r="J15" s="91">
        <f t="shared" si="0"/>
        <v>0</v>
      </c>
      <c r="K15" s="90">
        <f t="shared" si="1"/>
        <v>0</v>
      </c>
      <c r="L15" s="318" t="e">
        <f t="shared" si="2"/>
        <v>#DIV/0!</v>
      </c>
      <c r="M15" s="495"/>
      <c r="N15" s="325"/>
      <c r="O15" s="325"/>
      <c r="P15" s="326"/>
      <c r="Q15" s="62"/>
      <c r="R15" s="62"/>
      <c r="S15" s="494"/>
      <c r="T15" s="73" t="s">
        <v>306</v>
      </c>
      <c r="U15" s="91">
        <f t="shared" si="3"/>
        <v>0</v>
      </c>
      <c r="V15" s="90">
        <f t="shared" si="4"/>
        <v>0</v>
      </c>
      <c r="W15" s="92" t="e">
        <f t="shared" si="5"/>
        <v>#DIV/0!</v>
      </c>
    </row>
    <row r="16" spans="1:23" ht="15" thickBot="1" x14ac:dyDescent="0.4">
      <c r="A16" s="407" t="s">
        <v>146</v>
      </c>
      <c r="B16" s="87" t="s">
        <v>307</v>
      </c>
      <c r="C16" s="152">
        <f>COUNTIFS('Données brutes'!F:F,"But",'Données brutes'!E:E,"NAEMI",'Données brutes'!G:G,"9m G")</f>
        <v>0</v>
      </c>
      <c r="D16" s="90">
        <f>COUNTIFS('Données brutes'!F:F,"Ar GB",'Données brutes'!E:E,"NAEMI",'Données brutes'!G:G,"9m G")</f>
        <v>1</v>
      </c>
      <c r="E16" s="90">
        <f>COUNTIFS('Données brutes'!F:F,"HC",'Données brutes'!E:E,"NAEMI",'Données brutes'!G:G,"9m G")</f>
        <v>0</v>
      </c>
      <c r="F16" s="90">
        <f>COUNTIFS('Données brutes'!F:F,"tir raté NC",'Données brutes'!E:E,"NAEMI",'Données brutes'!G:G,"9m G")</f>
        <v>0</v>
      </c>
      <c r="G16" s="121"/>
      <c r="H16" s="407" t="s">
        <v>146</v>
      </c>
      <c r="I16" s="32" t="s">
        <v>307</v>
      </c>
      <c r="J16" s="91">
        <f t="shared" si="0"/>
        <v>0</v>
      </c>
      <c r="K16" s="90">
        <f t="shared" si="1"/>
        <v>1</v>
      </c>
      <c r="L16" s="318">
        <f t="shared" si="2"/>
        <v>0</v>
      </c>
      <c r="M16" s="404" t="s">
        <v>146</v>
      </c>
      <c r="N16" s="319">
        <f>SUM(J16:J18)</f>
        <v>0</v>
      </c>
      <c r="O16" s="319">
        <f>SUM(K16:K18)</f>
        <v>1</v>
      </c>
      <c r="P16" s="322">
        <f>N16/O16</f>
        <v>0</v>
      </c>
      <c r="Q16" s="62"/>
      <c r="R16" s="62"/>
      <c r="S16" s="407" t="s">
        <v>146</v>
      </c>
      <c r="T16" s="32" t="s">
        <v>307</v>
      </c>
      <c r="U16" s="91">
        <f t="shared" si="3"/>
        <v>0</v>
      </c>
      <c r="V16" s="90">
        <f t="shared" si="4"/>
        <v>0.25</v>
      </c>
      <c r="W16" s="92">
        <f t="shared" si="5"/>
        <v>0</v>
      </c>
    </row>
    <row r="17" spans="1:23" ht="15" thickBot="1" x14ac:dyDescent="0.4">
      <c r="A17" s="404"/>
      <c r="B17" s="13" t="s">
        <v>308</v>
      </c>
      <c r="C17" s="152">
        <f>COUNTIFS('Données brutes'!F:F,"But",'Données brutes'!E:E,"NAEMI",'Données brutes'!G:G,"9m +")</f>
        <v>0</v>
      </c>
      <c r="D17" s="90">
        <f>COUNTIFS('Données brutes'!F:F,"Ar GB",'Données brutes'!E:E,"NAEMI",'Données brutes'!G:G,"9m +")</f>
        <v>0</v>
      </c>
      <c r="E17" s="90">
        <f>COUNTIFS('Données brutes'!F:F,"HC",'Données brutes'!E:E,"NAEMI",'Données brutes'!G:G,"9m +")</f>
        <v>0</v>
      </c>
      <c r="F17" s="90">
        <f>COUNTIFS('Données brutes'!F:F,"tir raté NC",'Données brutes'!E:E,"NAEMI",'Données brutes'!G:G,"9m +")</f>
        <v>0</v>
      </c>
      <c r="G17" s="62"/>
      <c r="H17" s="404"/>
      <c r="I17" s="33" t="s">
        <v>308</v>
      </c>
      <c r="J17" s="91">
        <f t="shared" si="0"/>
        <v>0</v>
      </c>
      <c r="K17" s="90">
        <f t="shared" si="1"/>
        <v>0</v>
      </c>
      <c r="L17" s="318" t="e">
        <f t="shared" si="2"/>
        <v>#DIV/0!</v>
      </c>
      <c r="M17" s="404"/>
      <c r="N17" s="325"/>
      <c r="O17" s="325"/>
      <c r="P17" s="326"/>
      <c r="Q17" s="62"/>
      <c r="R17" s="62"/>
      <c r="S17" s="404"/>
      <c r="T17" s="33" t="s">
        <v>308</v>
      </c>
      <c r="U17" s="91">
        <f t="shared" si="3"/>
        <v>0</v>
      </c>
      <c r="V17" s="90">
        <f t="shared" si="4"/>
        <v>0</v>
      </c>
      <c r="W17" s="92" t="e">
        <f t="shared" si="5"/>
        <v>#DIV/0!</v>
      </c>
    </row>
    <row r="18" spans="1:23" ht="15" thickBot="1" x14ac:dyDescent="0.4">
      <c r="A18" s="490"/>
      <c r="B18" s="36" t="s">
        <v>309</v>
      </c>
      <c r="C18" s="152">
        <f>COUNTIFS('Données brutes'!F:F,"But",'Données brutes'!E:E,"NAEMI",'Données brutes'!G:G,"9m D")</f>
        <v>0</v>
      </c>
      <c r="D18" s="90">
        <f>COUNTIFS('Données brutes'!F:F,"Ar GB",'Données brutes'!E:E,"NAEMI",'Données brutes'!G:G,"9m D")</f>
        <v>0</v>
      </c>
      <c r="E18" s="90">
        <f>COUNTIFS('Données brutes'!F:F,"HC",'Données brutes'!E:E,"NAEMI",'Données brutes'!G:G,"9m D")</f>
        <v>0</v>
      </c>
      <c r="F18" s="90">
        <f>COUNTIFS('Données brutes'!F:F,"tir raté NC",'Données brutes'!E:E,"NAEMI",'Données brutes'!G:G,"9m D")</f>
        <v>0</v>
      </c>
      <c r="G18" s="122"/>
      <c r="H18" s="490"/>
      <c r="I18" s="73" t="s">
        <v>309</v>
      </c>
      <c r="J18" s="91">
        <f t="shared" si="0"/>
        <v>0</v>
      </c>
      <c r="K18" s="90">
        <f t="shared" si="1"/>
        <v>0</v>
      </c>
      <c r="L18" s="318" t="e">
        <f t="shared" si="2"/>
        <v>#DIV/0!</v>
      </c>
      <c r="M18" s="404"/>
      <c r="N18" s="325"/>
      <c r="O18" s="325"/>
      <c r="P18" s="326"/>
      <c r="Q18" s="62"/>
      <c r="R18" s="62"/>
      <c r="S18" s="490"/>
      <c r="T18" s="73" t="s">
        <v>309</v>
      </c>
      <c r="U18" s="91">
        <f t="shared" si="3"/>
        <v>0</v>
      </c>
      <c r="V18" s="90">
        <f t="shared" si="4"/>
        <v>0</v>
      </c>
      <c r="W18" s="92" t="e">
        <f t="shared" si="5"/>
        <v>#DIV/0!</v>
      </c>
    </row>
    <row r="19" spans="1:23" ht="15" thickBot="1" x14ac:dyDescent="0.4">
      <c r="A19" s="493" t="s">
        <v>310</v>
      </c>
      <c r="B19" s="87" t="s">
        <v>22</v>
      </c>
      <c r="C19" s="152">
        <f>COUNTIFS('Données brutes'!F:F,"But",'Données brutes'!E:E,"NAEMI",'Données brutes'!G:G,"But vide")</f>
        <v>0</v>
      </c>
      <c r="D19" s="90">
        <f>COUNTIFS('Données brutes'!F:F,"Ar GB",'Données brutes'!E:E,"NAEMI",'Données brutes'!G:G,"But vide")</f>
        <v>0</v>
      </c>
      <c r="E19" s="90">
        <f>COUNTIFS('Données brutes'!F:F,"HC",'Données brutes'!E:E,"NAEMI",'Données brutes'!G:G,"But vide")</f>
        <v>0</v>
      </c>
      <c r="F19" s="90">
        <f>COUNTIFS('Données brutes'!F:F,"tir raté NC",'Données brutes'!E:E,"NAEMI",'Données brutes'!G:G,"But vide")</f>
        <v>0</v>
      </c>
      <c r="G19" s="121"/>
      <c r="H19" s="493" t="s">
        <v>310</v>
      </c>
      <c r="I19" s="32" t="s">
        <v>22</v>
      </c>
      <c r="J19" s="91">
        <f t="shared" si="0"/>
        <v>0</v>
      </c>
      <c r="K19" s="90">
        <f t="shared" si="1"/>
        <v>0</v>
      </c>
      <c r="L19" s="318" t="e">
        <f t="shared" si="2"/>
        <v>#DIV/0!</v>
      </c>
      <c r="M19" s="495" t="s">
        <v>310</v>
      </c>
      <c r="N19" s="319">
        <f>J19+J20</f>
        <v>5</v>
      </c>
      <c r="O19" s="319">
        <f>K19+K20</f>
        <v>6</v>
      </c>
      <c r="P19" s="322">
        <f>N19/O19</f>
        <v>0.83333333333333337</v>
      </c>
      <c r="Q19" s="62"/>
      <c r="R19" s="62"/>
      <c r="S19" s="493" t="s">
        <v>310</v>
      </c>
      <c r="T19" s="32" t="s">
        <v>22</v>
      </c>
      <c r="U19" s="91">
        <f t="shared" si="3"/>
        <v>0</v>
      </c>
      <c r="V19" s="90">
        <f t="shared" si="4"/>
        <v>0</v>
      </c>
      <c r="W19" s="92" t="e">
        <f t="shared" si="5"/>
        <v>#DIV/0!</v>
      </c>
    </row>
    <row r="20" spans="1:23" ht="15" thickBot="1" x14ac:dyDescent="0.4">
      <c r="A20" s="494"/>
      <c r="B20" s="36" t="s">
        <v>12</v>
      </c>
      <c r="C20" s="152">
        <f>COUNTIFS('Données brutes'!F:F,"But",'Données brutes'!E:E,"NAEMI",'Données brutes'!G:G,"CA MB")</f>
        <v>5</v>
      </c>
      <c r="D20" s="90">
        <f>COUNTIFS('Données brutes'!F:F,"Ar GB",'Données brutes'!E:E,"NAEMI",'Données brutes'!G:G,"CA MB")</f>
        <v>1</v>
      </c>
      <c r="E20" s="90">
        <f>COUNTIFS('Données brutes'!F:F,"HC",'Données brutes'!E:E,"NAEMI",'Données brutes'!G:G,"CA MB")</f>
        <v>0</v>
      </c>
      <c r="F20" s="90">
        <f>COUNTIFS('Données brutes'!F:F,"tir raté NC",'Données brutes'!E:E,"NAEMI",'Données brutes'!G:G,"CA MB")</f>
        <v>0</v>
      </c>
      <c r="G20" s="122"/>
      <c r="H20" s="494"/>
      <c r="I20" s="73" t="s">
        <v>12</v>
      </c>
      <c r="J20" s="91">
        <f t="shared" si="0"/>
        <v>5</v>
      </c>
      <c r="K20" s="90">
        <f t="shared" si="1"/>
        <v>6</v>
      </c>
      <c r="L20" s="318">
        <f t="shared" si="2"/>
        <v>0.83333333333333337</v>
      </c>
      <c r="M20" s="495"/>
      <c r="N20" s="325"/>
      <c r="O20" s="325"/>
      <c r="P20" s="326"/>
      <c r="Q20" s="62"/>
      <c r="R20" s="62"/>
      <c r="S20" s="494"/>
      <c r="T20" s="73" t="s">
        <v>12</v>
      </c>
      <c r="U20" s="91">
        <f t="shared" si="3"/>
        <v>1.25</v>
      </c>
      <c r="V20" s="90">
        <f t="shared" si="4"/>
        <v>1.5</v>
      </c>
      <c r="W20" s="92">
        <f t="shared" si="5"/>
        <v>0.83333333333333337</v>
      </c>
    </row>
    <row r="21" spans="1:23" ht="15" thickBot="1" x14ac:dyDescent="0.4">
      <c r="A21" s="488" t="s">
        <v>311</v>
      </c>
      <c r="B21" s="507"/>
      <c r="C21" s="156">
        <f>SUM(C3:C20)</f>
        <v>6</v>
      </c>
      <c r="D21" s="157">
        <f t="shared" ref="D21:E21" si="6">SUM(D3:D20)</f>
        <v>5</v>
      </c>
      <c r="E21" s="157">
        <f t="shared" si="6"/>
        <v>4</v>
      </c>
      <c r="F21" s="157">
        <f>SUM(F3:F16)</f>
        <v>0</v>
      </c>
      <c r="G21" s="123"/>
      <c r="H21" s="488" t="s">
        <v>311</v>
      </c>
      <c r="I21" s="489"/>
      <c r="J21" s="91">
        <f t="shared" si="0"/>
        <v>6</v>
      </c>
      <c r="K21" s="90">
        <f t="shared" si="1"/>
        <v>15</v>
      </c>
      <c r="L21" s="318">
        <f t="shared" si="2"/>
        <v>0.4</v>
      </c>
      <c r="M21" s="324"/>
      <c r="N21" s="325"/>
      <c r="O21" s="325"/>
      <c r="P21" s="326"/>
      <c r="Q21" s="62"/>
      <c r="R21" s="62"/>
      <c r="S21" s="488" t="s">
        <v>311</v>
      </c>
      <c r="T21" s="489"/>
      <c r="U21" s="91">
        <f t="shared" si="3"/>
        <v>1.5</v>
      </c>
      <c r="V21" s="90">
        <f t="shared" si="4"/>
        <v>3.75</v>
      </c>
      <c r="W21" s="92">
        <f t="shared" si="5"/>
        <v>0.4</v>
      </c>
    </row>
    <row r="22" spans="1:23" ht="15" thickBot="1" x14ac:dyDescent="0.4">
      <c r="A22" s="94"/>
      <c r="B22" s="87" t="s">
        <v>59</v>
      </c>
      <c r="C22" s="152">
        <f>COUNTIFS('Données brutes'!F:F,"But",'Données brutes'!E:E,"NAEMI",'Données brutes'!G:G,"Jet 7m")</f>
        <v>0</v>
      </c>
      <c r="D22" s="90">
        <f>COUNTIFS('Données brutes'!F:F,"Ar GB",'Données brutes'!E:E,"NAEMI",'Données brutes'!G:G,"Jet 7m")</f>
        <v>0</v>
      </c>
      <c r="E22" s="90">
        <f>COUNTIFS('Données brutes'!F:F,"HC",'Données brutes'!E:E,"NAEMI",'Données brutes'!G:G,"Jet 7m")</f>
        <v>0</v>
      </c>
      <c r="F22" s="90">
        <f>COUNTIFS('Données brutes'!F:F,"tir raté NC",'Données brutes'!E:E,"NAEMI",'Données brutes'!G:G,"Jet 7m")</f>
        <v>0</v>
      </c>
      <c r="G22" s="508"/>
      <c r="H22" s="94"/>
      <c r="I22" s="32" t="s">
        <v>59</v>
      </c>
      <c r="J22" s="91">
        <f t="shared" si="0"/>
        <v>0</v>
      </c>
      <c r="K22" s="90">
        <f t="shared" si="1"/>
        <v>0</v>
      </c>
      <c r="L22" s="318" t="e">
        <f t="shared" si="2"/>
        <v>#DIV/0!</v>
      </c>
      <c r="M22" s="324"/>
      <c r="N22" s="325"/>
      <c r="O22" s="325"/>
      <c r="P22" s="326"/>
      <c r="Q22" s="62"/>
      <c r="R22" s="62"/>
      <c r="S22" s="94"/>
      <c r="T22" s="32" t="s">
        <v>59</v>
      </c>
      <c r="U22" s="91">
        <f t="shared" si="3"/>
        <v>0</v>
      </c>
      <c r="V22" s="90">
        <f t="shared" si="4"/>
        <v>0</v>
      </c>
      <c r="W22" s="92" t="e">
        <f t="shared" si="5"/>
        <v>#DIV/0!</v>
      </c>
    </row>
    <row r="23" spans="1:23" ht="15" thickBot="1" x14ac:dyDescent="0.4">
      <c r="A23" s="490" t="s">
        <v>312</v>
      </c>
      <c r="B23" s="510"/>
      <c r="C23" s="156">
        <f>C21+C22</f>
        <v>6</v>
      </c>
      <c r="D23" s="156">
        <f t="shared" ref="D23:F23" si="7">D21+D22</f>
        <v>5</v>
      </c>
      <c r="E23" s="156">
        <f t="shared" si="7"/>
        <v>4</v>
      </c>
      <c r="F23" s="156">
        <f t="shared" si="7"/>
        <v>0</v>
      </c>
      <c r="G23" s="509"/>
      <c r="H23" s="490" t="s">
        <v>312</v>
      </c>
      <c r="I23" s="511"/>
      <c r="J23" s="91">
        <f t="shared" si="0"/>
        <v>6</v>
      </c>
      <c r="K23" s="90">
        <f t="shared" si="1"/>
        <v>15</v>
      </c>
      <c r="L23" s="318">
        <f t="shared" si="2"/>
        <v>0.4</v>
      </c>
      <c r="M23" s="327"/>
      <c r="N23" s="328"/>
      <c r="O23" s="328"/>
      <c r="P23" s="329"/>
      <c r="Q23" s="122"/>
      <c r="R23" s="122"/>
      <c r="S23" s="490" t="s">
        <v>312</v>
      </c>
      <c r="T23" s="511"/>
      <c r="U23" s="91">
        <f t="shared" si="3"/>
        <v>1.5</v>
      </c>
      <c r="V23" s="90">
        <f t="shared" si="4"/>
        <v>3.75</v>
      </c>
      <c r="W23" s="92">
        <f t="shared" si="5"/>
        <v>0.4</v>
      </c>
    </row>
    <row r="24" spans="1:23" ht="15" thickBot="1" x14ac:dyDescent="0.4"/>
    <row r="25" spans="1:23" ht="26.5" thickBot="1" x14ac:dyDescent="0.4">
      <c r="A25" s="514" t="s">
        <v>374</v>
      </c>
      <c r="B25" s="515"/>
      <c r="C25" s="515"/>
      <c r="D25" s="515"/>
      <c r="E25" s="515"/>
      <c r="F25" s="515"/>
      <c r="G25" s="121"/>
      <c r="H25" s="425" t="s">
        <v>333</v>
      </c>
      <c r="I25" s="425"/>
      <c r="J25" s="425"/>
      <c r="K25" s="425"/>
      <c r="L25" s="425"/>
      <c r="M25" s="309"/>
      <c r="N25" s="309"/>
      <c r="O25" s="309"/>
      <c r="P25" s="309"/>
      <c r="Q25" s="121"/>
      <c r="R25" s="124" t="s">
        <v>335</v>
      </c>
      <c r="S25" s="425" t="s">
        <v>334</v>
      </c>
      <c r="T25" s="425"/>
      <c r="U25" s="425"/>
      <c r="V25" s="425"/>
      <c r="W25" s="426"/>
    </row>
    <row r="26" spans="1:23" ht="29.5" thickBot="1" x14ac:dyDescent="0.4">
      <c r="A26" s="403" t="s">
        <v>5</v>
      </c>
      <c r="B26" s="512"/>
      <c r="C26" s="118" t="s">
        <v>33</v>
      </c>
      <c r="D26" s="118" t="s">
        <v>20</v>
      </c>
      <c r="E26" s="118" t="s">
        <v>10</v>
      </c>
      <c r="F26" s="118" t="s">
        <v>277</v>
      </c>
      <c r="G26" s="62"/>
      <c r="H26" s="513" t="s">
        <v>5</v>
      </c>
      <c r="I26" s="421"/>
      <c r="J26" s="93" t="s">
        <v>33</v>
      </c>
      <c r="K26" s="119" t="s">
        <v>326</v>
      </c>
      <c r="L26" s="120" t="s">
        <v>150</v>
      </c>
      <c r="M26" s="310"/>
      <c r="N26" s="320" t="s">
        <v>33</v>
      </c>
      <c r="O26" s="320" t="s">
        <v>326</v>
      </c>
      <c r="P26" s="321" t="s">
        <v>150</v>
      </c>
      <c r="Q26" s="62"/>
      <c r="R26" s="125">
        <f>'Matchs joués'!B6</f>
        <v>4</v>
      </c>
      <c r="S26" s="513" t="s">
        <v>5</v>
      </c>
      <c r="T26" s="421"/>
      <c r="U26" s="93" t="s">
        <v>33</v>
      </c>
      <c r="V26" s="119" t="s">
        <v>326</v>
      </c>
      <c r="W26" s="120" t="s">
        <v>150</v>
      </c>
    </row>
    <row r="27" spans="1:23" ht="15" thickBot="1" x14ac:dyDescent="0.4">
      <c r="A27" s="407" t="s">
        <v>295</v>
      </c>
      <c r="B27" s="87" t="s">
        <v>15</v>
      </c>
      <c r="C27" s="152">
        <f>COUNTIFS('Données brutes'!F:F,"But",'Données brutes'!E:E,"SYRIANE",'Données brutes'!G:G,"ALG")</f>
        <v>4</v>
      </c>
      <c r="D27" s="90">
        <f>COUNTIFS('Données brutes'!F:F,"Ar GB",'Données brutes'!E:E,"SYRIANE",'Données brutes'!G:G,"ALG")</f>
        <v>6</v>
      </c>
      <c r="E27" s="90">
        <f>COUNTIFS('Données brutes'!F:F,"HC",'Données brutes'!E:E,"SYRIANE",'Données brutes'!G:G,"ALG")</f>
        <v>1</v>
      </c>
      <c r="F27" s="90">
        <f>COUNTIFS('Données brutes'!F:F,"tir raté NC",'Données brutes'!E:E,"SYRIANE",'Données brutes'!G:G,"ALG")</f>
        <v>0</v>
      </c>
      <c r="G27" s="121"/>
      <c r="H27" s="407" t="s">
        <v>295</v>
      </c>
      <c r="I27" s="32" t="s">
        <v>15</v>
      </c>
      <c r="J27" s="91">
        <f>$C27</f>
        <v>4</v>
      </c>
      <c r="K27" s="90">
        <f>$C27+$D27+$E27</f>
        <v>11</v>
      </c>
      <c r="L27" s="92">
        <f>J27/K27</f>
        <v>0.36363636363636365</v>
      </c>
      <c r="M27" s="404" t="s">
        <v>295</v>
      </c>
      <c r="N27" s="496" t="s">
        <v>394</v>
      </c>
      <c r="O27" s="496"/>
      <c r="P27" s="497"/>
      <c r="Q27" s="62"/>
      <c r="R27" s="62"/>
      <c r="S27" s="407" t="s">
        <v>295</v>
      </c>
      <c r="T27" s="32" t="s">
        <v>15</v>
      </c>
      <c r="U27" s="91">
        <f>$J27/$R$2</f>
        <v>1</v>
      </c>
      <c r="V27" s="90">
        <f>$K27/$R$2</f>
        <v>2.75</v>
      </c>
      <c r="W27" s="92">
        <f>U27/V27</f>
        <v>0.36363636363636365</v>
      </c>
    </row>
    <row r="28" spans="1:23" ht="15" thickBot="1" x14ac:dyDescent="0.4">
      <c r="A28" s="404"/>
      <c r="B28" s="13" t="s">
        <v>282</v>
      </c>
      <c r="C28" s="153">
        <f>COUNTIFS('Données brutes'!F:F,"But",'Données brutes'!E:E,"SYRIANE",'Données brutes'!G:G,"1 2")</f>
        <v>0</v>
      </c>
      <c r="D28" s="61">
        <f>COUNTIFS('Données brutes'!F:F,"Ar GB",'Données brutes'!E:E,"SYRIANE",'Données brutes'!G:G,"1 2")</f>
        <v>0</v>
      </c>
      <c r="E28" s="61">
        <f>COUNTIFS('Données brutes'!F:F,"HC",'Données brutes'!E:E,"SYRIANE",'Données brutes'!G:G,"1 2")</f>
        <v>0</v>
      </c>
      <c r="F28" s="90">
        <f>COUNTIFS('Données brutes'!F:F,"tir raté NC",'Données brutes'!E:E,"SYRIANE",'Données brutes'!G:G,"1 2")</f>
        <v>0</v>
      </c>
      <c r="G28" s="62"/>
      <c r="H28" s="404"/>
      <c r="I28" s="33" t="s">
        <v>282</v>
      </c>
      <c r="J28" s="91">
        <f t="shared" ref="J28:J47" si="8">$C28</f>
        <v>0</v>
      </c>
      <c r="K28" s="90">
        <f t="shared" ref="K28:K47" si="9">$C28+$D28+$E28</f>
        <v>0</v>
      </c>
      <c r="L28" s="92" t="e">
        <f t="shared" ref="L28:L47" si="10">J28/K28</f>
        <v>#DIV/0!</v>
      </c>
      <c r="M28" s="404"/>
      <c r="N28" s="319">
        <f>J27+J33</f>
        <v>4</v>
      </c>
      <c r="O28" s="319">
        <f>K27+K33</f>
        <v>11</v>
      </c>
      <c r="P28" s="322">
        <f>N28/O28</f>
        <v>0.36363636363636365</v>
      </c>
      <c r="Q28" s="62"/>
      <c r="R28" s="62"/>
      <c r="S28" s="404"/>
      <c r="T28" s="33" t="s">
        <v>282</v>
      </c>
      <c r="U28" s="91">
        <f t="shared" ref="U28:U47" si="11">$J28/$R$2</f>
        <v>0</v>
      </c>
      <c r="V28" s="90">
        <f t="shared" ref="V28:V47" si="12">$K28/$R$2</f>
        <v>0</v>
      </c>
      <c r="W28" s="92" t="e">
        <f t="shared" ref="W28:W47" si="13">U28/V28</f>
        <v>#DIV/0!</v>
      </c>
    </row>
    <row r="29" spans="1:23" ht="15" thickBot="1" x14ac:dyDescent="0.4">
      <c r="A29" s="404"/>
      <c r="B29" s="13" t="s">
        <v>297</v>
      </c>
      <c r="C29" s="153">
        <f>COUNTIFS('Données brutes'!F:F,"But",'Données brutes'!E:E,"SYRIANE",'Données brutes'!G:G,"2 3")</f>
        <v>0</v>
      </c>
      <c r="D29" s="61">
        <f>COUNTIFS('Données brutes'!F:F,"Ar GB",'Données brutes'!E:E,"SYRIANE",'Données brutes'!G:G,"2 3")</f>
        <v>0</v>
      </c>
      <c r="E29" s="61">
        <f>COUNTIFS('Données brutes'!F:F,"HC",'Données brutes'!E:E,"SYRIANE",'Données brutes'!G:G,"2 3")</f>
        <v>0</v>
      </c>
      <c r="F29" s="90">
        <f>COUNTIFS('Données brutes'!F:F,"tir raté NC",'Données brutes'!E:E,"SYRIANE",'Données brutes'!G:G,"2 3")</f>
        <v>0</v>
      </c>
      <c r="G29" s="62"/>
      <c r="H29" s="404"/>
      <c r="I29" s="33" t="s">
        <v>297</v>
      </c>
      <c r="J29" s="91">
        <f t="shared" si="8"/>
        <v>0</v>
      </c>
      <c r="K29" s="90">
        <f t="shared" si="9"/>
        <v>0</v>
      </c>
      <c r="L29" s="92" t="e">
        <f t="shared" si="10"/>
        <v>#DIV/0!</v>
      </c>
      <c r="M29" s="404"/>
      <c r="N29" s="498" t="s">
        <v>395</v>
      </c>
      <c r="O29" s="498"/>
      <c r="P29" s="499"/>
      <c r="Q29" s="62"/>
      <c r="R29" s="62"/>
      <c r="S29" s="404"/>
      <c r="T29" s="33" t="s">
        <v>297</v>
      </c>
      <c r="U29" s="91">
        <f t="shared" si="11"/>
        <v>0</v>
      </c>
      <c r="V29" s="90">
        <f t="shared" si="12"/>
        <v>0</v>
      </c>
      <c r="W29" s="92" t="e">
        <f t="shared" si="13"/>
        <v>#DIV/0!</v>
      </c>
    </row>
    <row r="30" spans="1:23" ht="15" thickBot="1" x14ac:dyDescent="0.4">
      <c r="A30" s="404"/>
      <c r="B30" s="13" t="s">
        <v>296</v>
      </c>
      <c r="C30" s="153">
        <f>COUNTIFS('Données brutes'!F:F,"But",'Données brutes'!E:E,"SYRIANE",'Données brutes'!G:G,"3 4")</f>
        <v>0</v>
      </c>
      <c r="D30" s="61">
        <f>COUNTIFS('Données brutes'!F:F,"Ar GB",'Données brutes'!E:E,"SYRIANE",'Données brutes'!G:G,"3 4")</f>
        <v>0</v>
      </c>
      <c r="E30" s="61">
        <f>COUNTIFS('Données brutes'!F:F,"HC",'Données brutes'!E:E,"SYRIANE",'Données brutes'!G:G,"3 4")</f>
        <v>0</v>
      </c>
      <c r="F30" s="90">
        <f>COUNTIFS('Données brutes'!F:F,"tir raté NC",'Données brutes'!E:E,"SYRIANE",'Données brutes'!G:G,"3 4")</f>
        <v>0</v>
      </c>
      <c r="G30" s="62"/>
      <c r="H30" s="404"/>
      <c r="I30" s="33" t="s">
        <v>296</v>
      </c>
      <c r="J30" s="91">
        <f t="shared" si="8"/>
        <v>0</v>
      </c>
      <c r="K30" s="90">
        <f t="shared" si="9"/>
        <v>0</v>
      </c>
      <c r="L30" s="92" t="e">
        <f t="shared" si="10"/>
        <v>#DIV/0!</v>
      </c>
      <c r="M30" s="404"/>
      <c r="N30" s="319">
        <f>J28+J32</f>
        <v>0</v>
      </c>
      <c r="O30" s="319">
        <f>K28+K32</f>
        <v>0</v>
      </c>
      <c r="P30" s="323" t="e">
        <f>N30/O30</f>
        <v>#DIV/0!</v>
      </c>
      <c r="Q30" s="62"/>
      <c r="R30" s="62"/>
      <c r="S30" s="404"/>
      <c r="T30" s="33" t="s">
        <v>296</v>
      </c>
      <c r="U30" s="91">
        <f t="shared" si="11"/>
        <v>0</v>
      </c>
      <c r="V30" s="90">
        <f t="shared" si="12"/>
        <v>0</v>
      </c>
      <c r="W30" s="92" t="e">
        <f t="shared" si="13"/>
        <v>#DIV/0!</v>
      </c>
    </row>
    <row r="31" spans="1:23" ht="15" thickBot="1" x14ac:dyDescent="0.4">
      <c r="A31" s="404"/>
      <c r="B31" s="13" t="s">
        <v>298</v>
      </c>
      <c r="C31" s="153">
        <f>COUNTIFS('Données brutes'!F:F,"But",'Données brutes'!E:E,"SYRIANE",'Données brutes'!G:G,"4 5")</f>
        <v>0</v>
      </c>
      <c r="D31" s="61">
        <f>COUNTIFS('Données brutes'!F:F,"Ar GB",'Données brutes'!E:E,"SYRIANE",'Données brutes'!G:G,"4 5")</f>
        <v>0</v>
      </c>
      <c r="E31" s="61">
        <f>COUNTIFS('Données brutes'!F:F,"HC",'Données brutes'!E:E,"SYRIANE",'Données brutes'!G:G,"4 5")</f>
        <v>0</v>
      </c>
      <c r="F31" s="90">
        <f>COUNTIFS('Données brutes'!F:F,"tir raté NC",'Données brutes'!E:E,"SYRIANE",'Données brutes'!G:G,"4 5")</f>
        <v>0</v>
      </c>
      <c r="G31" s="62"/>
      <c r="H31" s="404"/>
      <c r="I31" s="33" t="s">
        <v>298</v>
      </c>
      <c r="J31" s="91">
        <f t="shared" si="8"/>
        <v>0</v>
      </c>
      <c r="K31" s="90">
        <f t="shared" si="9"/>
        <v>0</v>
      </c>
      <c r="L31" s="92" t="e">
        <f t="shared" si="10"/>
        <v>#DIV/0!</v>
      </c>
      <c r="M31" s="404"/>
      <c r="N31" s="498" t="s">
        <v>396</v>
      </c>
      <c r="O31" s="498"/>
      <c r="P31" s="499"/>
      <c r="Q31" s="62"/>
      <c r="R31" s="62"/>
      <c r="S31" s="404"/>
      <c r="T31" s="33" t="s">
        <v>298</v>
      </c>
      <c r="U31" s="91">
        <f t="shared" si="11"/>
        <v>0</v>
      </c>
      <c r="V31" s="90">
        <f t="shared" si="12"/>
        <v>0</v>
      </c>
      <c r="W31" s="92" t="e">
        <f t="shared" si="13"/>
        <v>#DIV/0!</v>
      </c>
    </row>
    <row r="32" spans="1:23" ht="15" thickBot="1" x14ac:dyDescent="0.4">
      <c r="A32" s="404"/>
      <c r="B32" s="13" t="s">
        <v>283</v>
      </c>
      <c r="C32" s="153">
        <f>COUNTIFS('Données brutes'!F:F,"But",'Données brutes'!E:E,"SYRIANE",'Données brutes'!G:G,"5 6")</f>
        <v>0</v>
      </c>
      <c r="D32" s="61">
        <f>COUNTIFS('Données brutes'!F:F,"Ar GB",'Données brutes'!E:E,"SYRIANE",'Données brutes'!G:G,"5 6")</f>
        <v>0</v>
      </c>
      <c r="E32" s="61">
        <f>COUNTIFS('Données brutes'!F:F,"HC",'Données brutes'!E:E,"SYRIANE",'Données brutes'!G:G,"5 6")</f>
        <v>0</v>
      </c>
      <c r="F32" s="90">
        <f>COUNTIFS('Données brutes'!F:F,"tir raté NC",'Données brutes'!E:E,"SYRIANE",'Données brutes'!G:G,"5 6")</f>
        <v>0</v>
      </c>
      <c r="G32" s="62"/>
      <c r="H32" s="404"/>
      <c r="I32" s="33" t="s">
        <v>283</v>
      </c>
      <c r="J32" s="91">
        <f t="shared" si="8"/>
        <v>0</v>
      </c>
      <c r="K32" s="90">
        <f t="shared" si="9"/>
        <v>0</v>
      </c>
      <c r="L32" s="92" t="e">
        <f t="shared" si="10"/>
        <v>#DIV/0!</v>
      </c>
      <c r="M32" s="404"/>
      <c r="N32" s="319">
        <f>J29+J30+J31</f>
        <v>0</v>
      </c>
      <c r="O32" s="319">
        <f>K29+K30+K31</f>
        <v>0</v>
      </c>
      <c r="P32" s="323" t="e">
        <f>N32/O32</f>
        <v>#DIV/0!</v>
      </c>
      <c r="Q32" s="62"/>
      <c r="R32" s="62"/>
      <c r="S32" s="404"/>
      <c r="T32" s="33" t="s">
        <v>283</v>
      </c>
      <c r="U32" s="91">
        <f t="shared" si="11"/>
        <v>0</v>
      </c>
      <c r="V32" s="90">
        <f t="shared" si="12"/>
        <v>0</v>
      </c>
      <c r="W32" s="92" t="e">
        <f t="shared" si="13"/>
        <v>#DIV/0!</v>
      </c>
    </row>
    <row r="33" spans="1:23" ht="15" thickBot="1" x14ac:dyDescent="0.4">
      <c r="A33" s="490"/>
      <c r="B33" s="36" t="s">
        <v>17</v>
      </c>
      <c r="C33" s="154">
        <f>COUNTIFS('Données brutes'!F:F,"But",'Données brutes'!E:E,"SYRIANE",'Données brutes'!G:G,"ALD")</f>
        <v>0</v>
      </c>
      <c r="D33" s="155">
        <f>COUNTIFS('Données brutes'!F:F,"Ar GB",'Données brutes'!E:E,"SYRIANE",'Données brutes'!G:G,"ALD")</f>
        <v>0</v>
      </c>
      <c r="E33" s="155">
        <f>COUNTIFS('Données brutes'!F:F,"HC",'Données brutes'!E:E,"SYRIANE",'Données brutes'!G:G,"ALD")</f>
        <v>0</v>
      </c>
      <c r="F33" s="90">
        <f>COUNTIFS('Données brutes'!F:F,"tir raté NC",'Données brutes'!E:E,"SYRIANE",'Données brutes'!G:G,"ALD")</f>
        <v>0</v>
      </c>
      <c r="G33" s="122"/>
      <c r="H33" s="490"/>
      <c r="I33" s="73" t="s">
        <v>17</v>
      </c>
      <c r="J33" s="91">
        <f t="shared" si="8"/>
        <v>0</v>
      </c>
      <c r="K33" s="90">
        <f t="shared" si="9"/>
        <v>0</v>
      </c>
      <c r="L33" s="92" t="e">
        <f t="shared" si="10"/>
        <v>#DIV/0!</v>
      </c>
      <c r="M33" s="404"/>
      <c r="N33" s="325"/>
      <c r="O33" s="325"/>
      <c r="P33" s="326"/>
      <c r="Q33" s="62"/>
      <c r="R33" s="62"/>
      <c r="S33" s="490"/>
      <c r="T33" s="73" t="s">
        <v>17</v>
      </c>
      <c r="U33" s="91">
        <f t="shared" si="11"/>
        <v>0</v>
      </c>
      <c r="V33" s="90">
        <f t="shared" si="12"/>
        <v>0</v>
      </c>
      <c r="W33" s="92" t="e">
        <f t="shared" si="13"/>
        <v>#DIV/0!</v>
      </c>
    </row>
    <row r="34" spans="1:23" ht="15" customHeight="1" thickBot="1" x14ac:dyDescent="0.4">
      <c r="A34" s="491" t="s">
        <v>299</v>
      </c>
      <c r="B34" s="87" t="s">
        <v>301</v>
      </c>
      <c r="C34" s="152">
        <f>COUNTIFS('Données brutes'!F:F,"But",'Données brutes'!E:E,"SYRIANE",'Données brutes'!G:G,"Central 7m 9m appui")</f>
        <v>0</v>
      </c>
      <c r="D34" s="90">
        <f>COUNTIFS('Données brutes'!F:F,"Ar GB",'Données brutes'!E:E,"SYRIANE",'Données brutes'!G:G,"Central 7m 9m appui")</f>
        <v>0</v>
      </c>
      <c r="E34" s="90">
        <f>COUNTIFS('Données brutes'!F:F,"HC",'Données brutes'!E:E,"SYRIANE",'Données brutes'!G:G,"Central 7m 9m appui")</f>
        <v>0</v>
      </c>
      <c r="F34" s="90">
        <f>COUNTIFS('Données brutes'!F:F,"tir raté NC",'Données brutes'!E:E,"SYRIANE",'Données brutes'!G:G,"ALD")</f>
        <v>0</v>
      </c>
      <c r="G34" s="121"/>
      <c r="H34" s="491" t="s">
        <v>299</v>
      </c>
      <c r="I34" s="32" t="s">
        <v>301</v>
      </c>
      <c r="J34" s="91">
        <f t="shared" si="8"/>
        <v>0</v>
      </c>
      <c r="K34" s="90">
        <f t="shared" si="9"/>
        <v>0</v>
      </c>
      <c r="L34" s="92" t="e">
        <f t="shared" si="10"/>
        <v>#DIV/0!</v>
      </c>
      <c r="M34" s="495" t="s">
        <v>299</v>
      </c>
      <c r="N34" s="319">
        <f>SUM(J34:J36)</f>
        <v>0</v>
      </c>
      <c r="O34" s="319">
        <f>SUM(K34:K36)</f>
        <v>0</v>
      </c>
      <c r="P34" s="322" t="e">
        <f>N34/O34</f>
        <v>#DIV/0!</v>
      </c>
      <c r="Q34" s="62"/>
      <c r="R34" s="62"/>
      <c r="S34" s="491" t="s">
        <v>299</v>
      </c>
      <c r="T34" s="32" t="s">
        <v>301</v>
      </c>
      <c r="U34" s="91">
        <f t="shared" si="11"/>
        <v>0</v>
      </c>
      <c r="V34" s="90">
        <f t="shared" si="12"/>
        <v>0</v>
      </c>
      <c r="W34" s="92" t="e">
        <f t="shared" si="13"/>
        <v>#DIV/0!</v>
      </c>
    </row>
    <row r="35" spans="1:23" ht="15" thickBot="1" x14ac:dyDescent="0.4">
      <c r="A35" s="495"/>
      <c r="B35" s="13" t="s">
        <v>302</v>
      </c>
      <c r="C35" s="153">
        <f>COUNTIFS('Données brutes'!F:F,"But",'Données brutes'!E:E,"SYRIANE",'Données brutes'!G:G,"7m 9m Ext G appui")</f>
        <v>0</v>
      </c>
      <c r="D35" s="61">
        <f>COUNTIFS('Données brutes'!F:F,"Ar GB",'Données brutes'!E:E,"SYRIANE",'Données brutes'!G:G,"7m 9m Ext G appui")</f>
        <v>0</v>
      </c>
      <c r="E35" s="61">
        <f>COUNTIFS('Données brutes'!F:F,"HC",'Données brutes'!E:E,"SYRIANE",'Données brutes'!G:G,"7m 9m Ext G appui")</f>
        <v>0</v>
      </c>
      <c r="F35" s="90">
        <f>COUNTIFS('Données brutes'!F:F,"tir raté NC",'Données brutes'!E:E,"SYRIANE",'Données brutes'!G:G,"7m 9m Ext G appui")</f>
        <v>0</v>
      </c>
      <c r="G35" s="62"/>
      <c r="H35" s="495"/>
      <c r="I35" s="33" t="s">
        <v>302</v>
      </c>
      <c r="J35" s="91">
        <f t="shared" si="8"/>
        <v>0</v>
      </c>
      <c r="K35" s="90">
        <f t="shared" si="9"/>
        <v>0</v>
      </c>
      <c r="L35" s="92" t="e">
        <f t="shared" si="10"/>
        <v>#DIV/0!</v>
      </c>
      <c r="M35" s="495"/>
      <c r="N35" s="325"/>
      <c r="O35" s="325"/>
      <c r="P35" s="326"/>
      <c r="Q35" s="62"/>
      <c r="R35" s="62"/>
      <c r="S35" s="495"/>
      <c r="T35" s="33" t="s">
        <v>302</v>
      </c>
      <c r="U35" s="91">
        <f t="shared" si="11"/>
        <v>0</v>
      </c>
      <c r="V35" s="90">
        <f t="shared" si="12"/>
        <v>0</v>
      </c>
      <c r="W35" s="92" t="e">
        <f t="shared" si="13"/>
        <v>#DIV/0!</v>
      </c>
    </row>
    <row r="36" spans="1:23" ht="15" thickBot="1" x14ac:dyDescent="0.4">
      <c r="A36" s="492"/>
      <c r="B36" s="36" t="s">
        <v>303</v>
      </c>
      <c r="C36" s="154">
        <f>COUNTIFS('Données brutes'!F:F,"But",'Données brutes'!E:E,"SYRIANE",'Données brutes'!G:G,"7m 9m Ext D appui")</f>
        <v>0</v>
      </c>
      <c r="D36" s="155">
        <f>COUNTIFS('Données brutes'!F:F,"Ar GB",'Données brutes'!E:E,"SYRIANE",'Données brutes'!G:G,"7m 9m Ext D appui")</f>
        <v>0</v>
      </c>
      <c r="E36" s="155">
        <f>COUNTIFS('Données brutes'!F:F,"HC",'Données brutes'!E:E,"SYRIANE",'Données brutes'!G:G,"7m 9m Ext D appui")</f>
        <v>0</v>
      </c>
      <c r="F36" s="90">
        <f>COUNTIFS('Données brutes'!F:F,"tir raté NC",'Données brutes'!E:E,"SYRIANE",'Données brutes'!G:G,"ALD")</f>
        <v>0</v>
      </c>
      <c r="G36" s="122"/>
      <c r="H36" s="492"/>
      <c r="I36" s="73" t="s">
        <v>303</v>
      </c>
      <c r="J36" s="91">
        <f t="shared" si="8"/>
        <v>0</v>
      </c>
      <c r="K36" s="90">
        <f t="shared" si="9"/>
        <v>0</v>
      </c>
      <c r="L36" s="92" t="e">
        <f t="shared" si="10"/>
        <v>#DIV/0!</v>
      </c>
      <c r="M36" s="495"/>
      <c r="N36" s="325"/>
      <c r="O36" s="325"/>
      <c r="P36" s="326"/>
      <c r="Q36" s="62"/>
      <c r="R36" s="62"/>
      <c r="S36" s="492"/>
      <c r="T36" s="73" t="s">
        <v>303</v>
      </c>
      <c r="U36" s="91">
        <f t="shared" si="11"/>
        <v>0</v>
      </c>
      <c r="V36" s="90">
        <f t="shared" si="12"/>
        <v>0</v>
      </c>
      <c r="W36" s="92" t="e">
        <f t="shared" si="13"/>
        <v>#DIV/0!</v>
      </c>
    </row>
    <row r="37" spans="1:23" ht="15" customHeight="1" thickBot="1" x14ac:dyDescent="0.4">
      <c r="A37" s="493" t="s">
        <v>300</v>
      </c>
      <c r="B37" s="87" t="s">
        <v>304</v>
      </c>
      <c r="C37" s="152">
        <f>COUNTIFS('Données brutes'!F:F,"But",'Données brutes'!E:E,"SYRIANE",'Données brutes'!G:G,"7m 9m central suspension")</f>
        <v>0</v>
      </c>
      <c r="D37" s="90">
        <f>COUNTIFS('Données brutes'!F:F,"Ar GB",'Données brutes'!E:E,"SYRIANE",'Données brutes'!G:G,"7m 9m central suspension")</f>
        <v>0</v>
      </c>
      <c r="E37" s="90">
        <f>COUNTIFS('Données brutes'!F:F,"HC",'Données brutes'!E:E,"SYRIANE",'Données brutes'!G:G,"7m 9m central suspension")</f>
        <v>0</v>
      </c>
      <c r="F37" s="90">
        <f>COUNTIFS('Données brutes'!F:F,"tir raté NC",'Données brutes'!E:E,"SYRIANE",'Données brutes'!G:G,"ALD")</f>
        <v>0</v>
      </c>
      <c r="G37" s="121"/>
      <c r="H37" s="493" t="s">
        <v>300</v>
      </c>
      <c r="I37" s="32" t="s">
        <v>304</v>
      </c>
      <c r="J37" s="91">
        <f t="shared" si="8"/>
        <v>0</v>
      </c>
      <c r="K37" s="90">
        <f t="shared" si="9"/>
        <v>0</v>
      </c>
      <c r="L37" s="92" t="e">
        <f t="shared" si="10"/>
        <v>#DIV/0!</v>
      </c>
      <c r="M37" s="495" t="s">
        <v>300</v>
      </c>
      <c r="N37" s="319">
        <f>SUM(J37:J39)</f>
        <v>0</v>
      </c>
      <c r="O37" s="319">
        <f>SUM(K37:K39)</f>
        <v>0</v>
      </c>
      <c r="P37" s="322" t="e">
        <f>N37/O37</f>
        <v>#DIV/0!</v>
      </c>
      <c r="Q37" s="62"/>
      <c r="R37" s="62"/>
      <c r="S37" s="493" t="s">
        <v>300</v>
      </c>
      <c r="T37" s="32" t="s">
        <v>304</v>
      </c>
      <c r="U37" s="91">
        <f t="shared" si="11"/>
        <v>0</v>
      </c>
      <c r="V37" s="90">
        <f t="shared" si="12"/>
        <v>0</v>
      </c>
      <c r="W37" s="92" t="e">
        <f t="shared" si="13"/>
        <v>#DIV/0!</v>
      </c>
    </row>
    <row r="38" spans="1:23" ht="15" thickBot="1" x14ac:dyDescent="0.4">
      <c r="A38" s="506"/>
      <c r="B38" s="13" t="s">
        <v>305</v>
      </c>
      <c r="C38" s="153">
        <f>COUNTIFS('Données brutes'!F:F,"But",'Données brutes'!E:E,"SYRIANE",'Données brutes'!G:G,"7m 9m Ext G suspension")</f>
        <v>0</v>
      </c>
      <c r="D38" s="61">
        <f>COUNTIFS('Données brutes'!F:F,"Ar GB",'Données brutes'!E:E,"SYRIANE",'Données brutes'!G:G,"7m 9m Ext G suspension")</f>
        <v>0</v>
      </c>
      <c r="E38" s="61">
        <f>COUNTIFS('Données brutes'!F:F,"HC",'Données brutes'!E:E,"SYRIANE",'Données brutes'!G:G,"7m 9m Ext G suspension")</f>
        <v>0</v>
      </c>
      <c r="F38" s="90">
        <f>COUNTIFS('Données brutes'!F:F,"tir raté NC",'Données brutes'!E:E,"SYRIANE",'Données brutes'!G:G,"ALD")</f>
        <v>0</v>
      </c>
      <c r="G38" s="62"/>
      <c r="H38" s="506"/>
      <c r="I38" s="33" t="s">
        <v>305</v>
      </c>
      <c r="J38" s="91">
        <f t="shared" si="8"/>
        <v>0</v>
      </c>
      <c r="K38" s="90">
        <f t="shared" si="9"/>
        <v>0</v>
      </c>
      <c r="L38" s="92" t="e">
        <f t="shared" si="10"/>
        <v>#DIV/0!</v>
      </c>
      <c r="M38" s="495"/>
      <c r="N38" s="325"/>
      <c r="O38" s="325"/>
      <c r="P38" s="326"/>
      <c r="Q38" s="62"/>
      <c r="R38" s="62"/>
      <c r="S38" s="506"/>
      <c r="T38" s="33" t="s">
        <v>305</v>
      </c>
      <c r="U38" s="91">
        <f t="shared" si="11"/>
        <v>0</v>
      </c>
      <c r="V38" s="90">
        <f t="shared" si="12"/>
        <v>0</v>
      </c>
      <c r="W38" s="92" t="e">
        <f t="shared" si="13"/>
        <v>#DIV/0!</v>
      </c>
    </row>
    <row r="39" spans="1:23" ht="15" thickBot="1" x14ac:dyDescent="0.4">
      <c r="A39" s="494"/>
      <c r="B39" s="36" t="s">
        <v>306</v>
      </c>
      <c r="C39" s="153">
        <f>COUNTIFS('Données brutes'!F:F,"But",'Données brutes'!E:E,"SYRIANE",'Données brutes'!G:G,"7m 9m Ext D suspension")</f>
        <v>0</v>
      </c>
      <c r="D39" s="61">
        <f>COUNTIFS('Données brutes'!F:F,"Ar GB",'Données brutes'!E:E,"SYRIANE",'Données brutes'!G:G,"7m 9m Ext D suspension")</f>
        <v>0</v>
      </c>
      <c r="E39" s="61">
        <f>COUNTIFS('Données brutes'!F:F,"HC",'Données brutes'!E:E,"SYRIANE",'Données brutes'!G:G,"7m 9m Ext D suspension")</f>
        <v>0</v>
      </c>
      <c r="F39" s="90">
        <f>COUNTIFS('Données brutes'!F:F,"tir raté NC",'Données brutes'!E:E,"SYRIANE",'Données brutes'!G:G,"7m 9m Ext D suspension")</f>
        <v>0</v>
      </c>
      <c r="G39" s="122"/>
      <c r="H39" s="494"/>
      <c r="I39" s="73" t="s">
        <v>306</v>
      </c>
      <c r="J39" s="91">
        <f t="shared" si="8"/>
        <v>0</v>
      </c>
      <c r="K39" s="90">
        <f t="shared" si="9"/>
        <v>0</v>
      </c>
      <c r="L39" s="92" t="e">
        <f t="shared" si="10"/>
        <v>#DIV/0!</v>
      </c>
      <c r="M39" s="495"/>
      <c r="N39" s="325"/>
      <c r="O39" s="325"/>
      <c r="P39" s="326"/>
      <c r="Q39" s="62"/>
      <c r="R39" s="62"/>
      <c r="S39" s="494"/>
      <c r="T39" s="73" t="s">
        <v>306</v>
      </c>
      <c r="U39" s="91">
        <f t="shared" si="11"/>
        <v>0</v>
      </c>
      <c r="V39" s="90">
        <f t="shared" si="12"/>
        <v>0</v>
      </c>
      <c r="W39" s="92" t="e">
        <f t="shared" si="13"/>
        <v>#DIV/0!</v>
      </c>
    </row>
    <row r="40" spans="1:23" ht="15" thickBot="1" x14ac:dyDescent="0.4">
      <c r="A40" s="407" t="s">
        <v>146</v>
      </c>
      <c r="B40" s="87" t="s">
        <v>307</v>
      </c>
      <c r="C40" s="152">
        <f>COUNTIFS('Données brutes'!F:F,"But",'Données brutes'!E:E,"SYRIANE",'Données brutes'!G:G,"9m G")</f>
        <v>0</v>
      </c>
      <c r="D40" s="90">
        <f>COUNTIFS('Données brutes'!F:F,"Ar GB",'Données brutes'!E:E,"SYRIANE",'Données brutes'!G:G,"9m G")</f>
        <v>0</v>
      </c>
      <c r="E40" s="90">
        <f>COUNTIFS('Données brutes'!F:F,"HC",'Données brutes'!E:E,"SYRIANE",'Données brutes'!G:G,"9m G")</f>
        <v>0</v>
      </c>
      <c r="F40" s="90">
        <f>COUNTIFS('Données brutes'!F:F,"tir raté NC",'Données brutes'!E:E,"SYRIANE",'Données brutes'!G:G,"9m G")</f>
        <v>0</v>
      </c>
      <c r="G40" s="121"/>
      <c r="H40" s="407" t="s">
        <v>146</v>
      </c>
      <c r="I40" s="32" t="s">
        <v>307</v>
      </c>
      <c r="J40" s="91">
        <f t="shared" si="8"/>
        <v>0</v>
      </c>
      <c r="K40" s="90">
        <f t="shared" si="9"/>
        <v>0</v>
      </c>
      <c r="L40" s="92" t="e">
        <f t="shared" si="10"/>
        <v>#DIV/0!</v>
      </c>
      <c r="M40" s="404" t="s">
        <v>146</v>
      </c>
      <c r="N40" s="319">
        <f>SUM(J40:J42)</f>
        <v>0</v>
      </c>
      <c r="O40" s="319">
        <f>SUM(K40:K42)</f>
        <v>0</v>
      </c>
      <c r="P40" s="322" t="e">
        <f>N40/O40</f>
        <v>#DIV/0!</v>
      </c>
      <c r="Q40" s="62"/>
      <c r="R40" s="62"/>
      <c r="S40" s="407" t="s">
        <v>146</v>
      </c>
      <c r="T40" s="32" t="s">
        <v>307</v>
      </c>
      <c r="U40" s="91">
        <f t="shared" si="11"/>
        <v>0</v>
      </c>
      <c r="V40" s="90">
        <f t="shared" si="12"/>
        <v>0</v>
      </c>
      <c r="W40" s="92" t="e">
        <f t="shared" si="13"/>
        <v>#DIV/0!</v>
      </c>
    </row>
    <row r="41" spans="1:23" ht="15" thickBot="1" x14ac:dyDescent="0.4">
      <c r="A41" s="404"/>
      <c r="B41" s="13" t="s">
        <v>308</v>
      </c>
      <c r="C41" s="152">
        <f>COUNTIFS('Données brutes'!F:F,"But",'Données brutes'!E:E,"SYRIANE",'Données brutes'!G:G,"9m +")</f>
        <v>0</v>
      </c>
      <c r="D41" s="90">
        <f>COUNTIFS('Données brutes'!F:F,"Ar GB",'Données brutes'!E:E,"SYRIANE",'Données brutes'!G:G,"9m +")</f>
        <v>0</v>
      </c>
      <c r="E41" s="90">
        <f>COUNTIFS('Données brutes'!F:F,"HC",'Données brutes'!E:E,"SYRIANE",'Données brutes'!G:G,"9m +")</f>
        <v>0</v>
      </c>
      <c r="F41" s="90">
        <f>COUNTIFS('Données brutes'!F:F,"tir raté NC",'Données brutes'!E:E,"SYRIANE",'Données brutes'!G:G,"9m +")</f>
        <v>0</v>
      </c>
      <c r="G41" s="62"/>
      <c r="H41" s="404"/>
      <c r="I41" s="33" t="s">
        <v>308</v>
      </c>
      <c r="J41" s="91">
        <f t="shared" si="8"/>
        <v>0</v>
      </c>
      <c r="K41" s="90">
        <f t="shared" si="9"/>
        <v>0</v>
      </c>
      <c r="L41" s="92" t="e">
        <f t="shared" si="10"/>
        <v>#DIV/0!</v>
      </c>
      <c r="M41" s="404"/>
      <c r="N41" s="325"/>
      <c r="O41" s="325"/>
      <c r="P41" s="326"/>
      <c r="Q41" s="62"/>
      <c r="R41" s="62"/>
      <c r="S41" s="404"/>
      <c r="T41" s="33" t="s">
        <v>308</v>
      </c>
      <c r="U41" s="91">
        <f t="shared" si="11"/>
        <v>0</v>
      </c>
      <c r="V41" s="90">
        <f t="shared" si="12"/>
        <v>0</v>
      </c>
      <c r="W41" s="92" t="e">
        <f t="shared" si="13"/>
        <v>#DIV/0!</v>
      </c>
    </row>
    <row r="42" spans="1:23" ht="15" thickBot="1" x14ac:dyDescent="0.4">
      <c r="A42" s="490"/>
      <c r="B42" s="36" t="s">
        <v>309</v>
      </c>
      <c r="C42" s="152">
        <f>COUNTIFS('Données brutes'!F:F,"But",'Données brutes'!E:E,"SYRIANE",'Données brutes'!G:G,"9m D")</f>
        <v>0</v>
      </c>
      <c r="D42" s="90">
        <f>COUNTIFS('Données brutes'!F:F,"Ar GB",'Données brutes'!E:E,"SYRIANE",'Données brutes'!G:G,"9m D")</f>
        <v>0</v>
      </c>
      <c r="E42" s="90">
        <f>COUNTIFS('Données brutes'!F:F,"HC",'Données brutes'!E:E,"SYRIANE",'Données brutes'!G:G,"9m D")</f>
        <v>0</v>
      </c>
      <c r="F42" s="90">
        <f>COUNTIFS('Données brutes'!F:F,"tir raté NC",'Données brutes'!E:E,"SYRIANE",'Données brutes'!G:G,"9m D")</f>
        <v>0</v>
      </c>
      <c r="G42" s="122"/>
      <c r="H42" s="490"/>
      <c r="I42" s="73" t="s">
        <v>309</v>
      </c>
      <c r="J42" s="91">
        <f t="shared" si="8"/>
        <v>0</v>
      </c>
      <c r="K42" s="90">
        <f t="shared" si="9"/>
        <v>0</v>
      </c>
      <c r="L42" s="92" t="e">
        <f t="shared" si="10"/>
        <v>#DIV/0!</v>
      </c>
      <c r="M42" s="404"/>
      <c r="N42" s="325"/>
      <c r="O42" s="325"/>
      <c r="P42" s="326"/>
      <c r="Q42" s="62"/>
      <c r="R42" s="62"/>
      <c r="S42" s="490"/>
      <c r="T42" s="73" t="s">
        <v>309</v>
      </c>
      <c r="U42" s="91">
        <f t="shared" si="11"/>
        <v>0</v>
      </c>
      <c r="V42" s="90">
        <f t="shared" si="12"/>
        <v>0</v>
      </c>
      <c r="W42" s="92" t="e">
        <f t="shared" si="13"/>
        <v>#DIV/0!</v>
      </c>
    </row>
    <row r="43" spans="1:23" ht="15" customHeight="1" thickBot="1" x14ac:dyDescent="0.4">
      <c r="A43" s="493" t="s">
        <v>310</v>
      </c>
      <c r="B43" s="87" t="s">
        <v>22</v>
      </c>
      <c r="C43" s="152">
        <f>COUNTIFS('Données brutes'!F:F,"But",'Données brutes'!E:E,"SYRIANE",'Données brutes'!G:G,"But vide")</f>
        <v>0</v>
      </c>
      <c r="D43" s="90">
        <f>COUNTIFS('Données brutes'!F:F,"Ar GB",'Données brutes'!E:E,"SYRIANE",'Données brutes'!G:G,"But vide")</f>
        <v>0</v>
      </c>
      <c r="E43" s="90">
        <f>COUNTIFS('Données brutes'!F:F,"HC",'Données brutes'!E:E,"SYRIANE",'Données brutes'!G:G,"But vide")</f>
        <v>0</v>
      </c>
      <c r="F43" s="90">
        <f>COUNTIFS('Données brutes'!F:F,"tir raté NC",'Données brutes'!E:E,"SYRIANE",'Données brutes'!G:G,"But vide")</f>
        <v>0</v>
      </c>
      <c r="G43" s="121"/>
      <c r="H43" s="493" t="s">
        <v>310</v>
      </c>
      <c r="I43" s="32" t="s">
        <v>22</v>
      </c>
      <c r="J43" s="91">
        <f t="shared" si="8"/>
        <v>0</v>
      </c>
      <c r="K43" s="90">
        <f t="shared" si="9"/>
        <v>0</v>
      </c>
      <c r="L43" s="92" t="e">
        <f t="shared" si="10"/>
        <v>#DIV/0!</v>
      </c>
      <c r="M43" s="495" t="s">
        <v>310</v>
      </c>
      <c r="N43" s="319">
        <f>J43+J44</f>
        <v>3</v>
      </c>
      <c r="O43" s="319">
        <f>K43+K44</f>
        <v>3</v>
      </c>
      <c r="P43" s="322">
        <f>N43/O43</f>
        <v>1</v>
      </c>
      <c r="Q43" s="62"/>
      <c r="R43" s="62"/>
      <c r="S43" s="493" t="s">
        <v>310</v>
      </c>
      <c r="T43" s="32" t="s">
        <v>22</v>
      </c>
      <c r="U43" s="91">
        <f t="shared" si="11"/>
        <v>0</v>
      </c>
      <c r="V43" s="90">
        <f t="shared" si="12"/>
        <v>0</v>
      </c>
      <c r="W43" s="92" t="e">
        <f t="shared" si="13"/>
        <v>#DIV/0!</v>
      </c>
    </row>
    <row r="44" spans="1:23" ht="15" thickBot="1" x14ac:dyDescent="0.4">
      <c r="A44" s="494"/>
      <c r="B44" s="36" t="s">
        <v>12</v>
      </c>
      <c r="C44" s="152">
        <f>COUNTIFS('Données brutes'!F:F,"But",'Données brutes'!E:E,"SYRIANE",'Données brutes'!G:G,"CA MB")</f>
        <v>3</v>
      </c>
      <c r="D44" s="90">
        <f>COUNTIFS('Données brutes'!F:F,"Ar GB",'Données brutes'!E:E,"SYRIANE",'Données brutes'!G:G,"CA MB")</f>
        <v>0</v>
      </c>
      <c r="E44" s="90">
        <f>COUNTIFS('Données brutes'!F:F,"HC",'Données brutes'!E:E,"SYRIANE",'Données brutes'!G:G,"CA MB")</f>
        <v>0</v>
      </c>
      <c r="F44" s="90">
        <f>COUNTIFS('Données brutes'!F:F,"tir raté NC",'Données brutes'!E:E,"SYRIANE",'Données brutes'!G:G,"CA MB")</f>
        <v>1</v>
      </c>
      <c r="G44" s="122"/>
      <c r="H44" s="494"/>
      <c r="I44" s="73" t="s">
        <v>12</v>
      </c>
      <c r="J44" s="91">
        <f t="shared" si="8"/>
        <v>3</v>
      </c>
      <c r="K44" s="90">
        <f t="shared" si="9"/>
        <v>3</v>
      </c>
      <c r="L44" s="92">
        <f t="shared" si="10"/>
        <v>1</v>
      </c>
      <c r="M44" s="495"/>
      <c r="N44" s="325"/>
      <c r="O44" s="325"/>
      <c r="P44" s="326"/>
      <c r="Q44" s="62"/>
      <c r="R44" s="62"/>
      <c r="S44" s="494"/>
      <c r="T44" s="73" t="s">
        <v>12</v>
      </c>
      <c r="U44" s="91">
        <f t="shared" si="11"/>
        <v>0.75</v>
      </c>
      <c r="V44" s="90">
        <f t="shared" si="12"/>
        <v>0.75</v>
      </c>
      <c r="W44" s="92">
        <f t="shared" si="13"/>
        <v>1</v>
      </c>
    </row>
    <row r="45" spans="1:23" ht="15" thickBot="1" x14ac:dyDescent="0.4">
      <c r="A45" s="488" t="s">
        <v>311</v>
      </c>
      <c r="B45" s="507"/>
      <c r="C45" s="156">
        <f>SUM(C27:C44)</f>
        <v>7</v>
      </c>
      <c r="D45" s="157">
        <f t="shared" ref="D45:E45" si="14">SUM(D27:D44)</f>
        <v>6</v>
      </c>
      <c r="E45" s="157">
        <f t="shared" si="14"/>
        <v>1</v>
      </c>
      <c r="F45" s="157">
        <f>SUM(F27:F40)</f>
        <v>0</v>
      </c>
      <c r="G45" s="123"/>
      <c r="H45" s="488" t="s">
        <v>311</v>
      </c>
      <c r="I45" s="489"/>
      <c r="J45" s="91">
        <f t="shared" si="8"/>
        <v>7</v>
      </c>
      <c r="K45" s="90">
        <f t="shared" si="9"/>
        <v>14</v>
      </c>
      <c r="L45" s="92">
        <f t="shared" si="10"/>
        <v>0.5</v>
      </c>
      <c r="M45" s="324"/>
      <c r="N45" s="325"/>
      <c r="O45" s="325"/>
      <c r="P45" s="326"/>
      <c r="Q45" s="62"/>
      <c r="R45" s="62"/>
      <c r="S45" s="488" t="s">
        <v>311</v>
      </c>
      <c r="T45" s="489"/>
      <c r="U45" s="91">
        <f t="shared" si="11"/>
        <v>1.75</v>
      </c>
      <c r="V45" s="90">
        <f t="shared" si="12"/>
        <v>3.5</v>
      </c>
      <c r="W45" s="92">
        <f t="shared" si="13"/>
        <v>0.5</v>
      </c>
    </row>
    <row r="46" spans="1:23" ht="15" thickBot="1" x14ac:dyDescent="0.4">
      <c r="A46" s="94"/>
      <c r="B46" s="87" t="s">
        <v>59</v>
      </c>
      <c r="C46" s="152">
        <f>COUNTIFS('Données brutes'!F:F,"But",'Données brutes'!E:E,"SYRIANE",'Données brutes'!G:G,"Jet 7m")</f>
        <v>0</v>
      </c>
      <c r="D46" s="90">
        <f>COUNTIFS('Données brutes'!F:F,"Ar GB",'Données brutes'!E:E,"SYRIANE",'Données brutes'!G:G,"Jet 7m")</f>
        <v>0</v>
      </c>
      <c r="E46" s="90">
        <f>COUNTIFS('Données brutes'!F:F,"HC",'Données brutes'!E:E,"SYRIANE",'Données brutes'!G:G,"Jet 7m")</f>
        <v>0</v>
      </c>
      <c r="F46" s="90">
        <f>COUNTIFS('Données brutes'!F:F,"tir raté NC",'Données brutes'!E:E,"SYRIANE",'Données brutes'!G:G,"Jet 7m")</f>
        <v>0</v>
      </c>
      <c r="G46" s="508"/>
      <c r="H46" s="94"/>
      <c r="I46" s="32" t="s">
        <v>59</v>
      </c>
      <c r="J46" s="91">
        <f t="shared" si="8"/>
        <v>0</v>
      </c>
      <c r="K46" s="90">
        <f t="shared" si="9"/>
        <v>0</v>
      </c>
      <c r="L46" s="92" t="e">
        <f t="shared" si="10"/>
        <v>#DIV/0!</v>
      </c>
      <c r="M46" s="324"/>
      <c r="N46" s="325"/>
      <c r="O46" s="325"/>
      <c r="P46" s="326"/>
      <c r="Q46" s="62"/>
      <c r="R46" s="62"/>
      <c r="S46" s="94"/>
      <c r="T46" s="32" t="s">
        <v>59</v>
      </c>
      <c r="U46" s="91">
        <f t="shared" si="11"/>
        <v>0</v>
      </c>
      <c r="V46" s="90">
        <f t="shared" si="12"/>
        <v>0</v>
      </c>
      <c r="W46" s="92" t="e">
        <f t="shared" si="13"/>
        <v>#DIV/0!</v>
      </c>
    </row>
    <row r="47" spans="1:23" ht="15" thickBot="1" x14ac:dyDescent="0.4">
      <c r="A47" s="490" t="s">
        <v>312</v>
      </c>
      <c r="B47" s="510"/>
      <c r="C47" s="156">
        <f>C45+C46</f>
        <v>7</v>
      </c>
      <c r="D47" s="156">
        <f t="shared" ref="D47" si="15">D45+D46</f>
        <v>6</v>
      </c>
      <c r="E47" s="156">
        <f t="shared" ref="E47" si="16">E45+E46</f>
        <v>1</v>
      </c>
      <c r="F47" s="156">
        <f t="shared" ref="F47" si="17">F45+F46</f>
        <v>0</v>
      </c>
      <c r="G47" s="509"/>
      <c r="H47" s="490" t="s">
        <v>312</v>
      </c>
      <c r="I47" s="511"/>
      <c r="J47" s="91">
        <f t="shared" si="8"/>
        <v>7</v>
      </c>
      <c r="K47" s="90">
        <f t="shared" si="9"/>
        <v>14</v>
      </c>
      <c r="L47" s="92">
        <f t="shared" si="10"/>
        <v>0.5</v>
      </c>
      <c r="M47" s="327"/>
      <c r="N47" s="328"/>
      <c r="O47" s="328"/>
      <c r="P47" s="329"/>
      <c r="Q47" s="122"/>
      <c r="R47" s="122"/>
      <c r="S47" s="490" t="s">
        <v>312</v>
      </c>
      <c r="T47" s="511"/>
      <c r="U47" s="91">
        <f t="shared" si="11"/>
        <v>1.75</v>
      </c>
      <c r="V47" s="90">
        <f t="shared" si="12"/>
        <v>3.5</v>
      </c>
      <c r="W47" s="92">
        <f t="shared" si="13"/>
        <v>0.5</v>
      </c>
    </row>
    <row r="48" spans="1:23" ht="15" thickBot="1" x14ac:dyDescent="0.4"/>
    <row r="49" spans="1:23" ht="26.5" thickBot="1" x14ac:dyDescent="0.4">
      <c r="A49" s="514" t="s">
        <v>365</v>
      </c>
      <c r="B49" s="515"/>
      <c r="C49" s="515"/>
      <c r="D49" s="515"/>
      <c r="E49" s="515"/>
      <c r="F49" s="515"/>
      <c r="G49" s="121"/>
      <c r="H49" s="425" t="s">
        <v>333</v>
      </c>
      <c r="I49" s="425"/>
      <c r="J49" s="425"/>
      <c r="K49" s="425"/>
      <c r="L49" s="425"/>
      <c r="M49" s="309"/>
      <c r="N49" s="309"/>
      <c r="O49" s="309"/>
      <c r="P49" s="309"/>
      <c r="Q49" s="121"/>
      <c r="R49" s="124" t="s">
        <v>335</v>
      </c>
      <c r="S49" s="425" t="s">
        <v>334</v>
      </c>
      <c r="T49" s="425"/>
      <c r="U49" s="425"/>
      <c r="V49" s="425"/>
      <c r="W49" s="426"/>
    </row>
    <row r="50" spans="1:23" ht="29.5" thickBot="1" x14ac:dyDescent="0.4">
      <c r="A50" s="403" t="s">
        <v>5</v>
      </c>
      <c r="B50" s="512"/>
      <c r="C50" s="118" t="s">
        <v>33</v>
      </c>
      <c r="D50" s="118" t="s">
        <v>20</v>
      </c>
      <c r="E50" s="118" t="s">
        <v>10</v>
      </c>
      <c r="F50" s="118" t="s">
        <v>277</v>
      </c>
      <c r="G50" s="62"/>
      <c r="H50" s="513" t="s">
        <v>5</v>
      </c>
      <c r="I50" s="421"/>
      <c r="J50" s="93" t="s">
        <v>33</v>
      </c>
      <c r="K50" s="119" t="s">
        <v>326</v>
      </c>
      <c r="L50" s="120" t="s">
        <v>150</v>
      </c>
      <c r="M50" s="310"/>
      <c r="N50" s="320" t="s">
        <v>33</v>
      </c>
      <c r="O50" s="320" t="s">
        <v>326</v>
      </c>
      <c r="P50" s="321" t="s">
        <v>150</v>
      </c>
      <c r="Q50" s="62"/>
      <c r="R50" s="125">
        <f>'Matchs joués'!B13</f>
        <v>4</v>
      </c>
      <c r="S50" s="513" t="s">
        <v>5</v>
      </c>
      <c r="T50" s="421"/>
      <c r="U50" s="93" t="s">
        <v>33</v>
      </c>
      <c r="V50" s="119" t="s">
        <v>326</v>
      </c>
      <c r="W50" s="120" t="s">
        <v>150</v>
      </c>
    </row>
    <row r="51" spans="1:23" ht="15" thickBot="1" x14ac:dyDescent="0.4">
      <c r="A51" s="407" t="s">
        <v>295</v>
      </c>
      <c r="B51" s="87" t="s">
        <v>15</v>
      </c>
      <c r="C51" s="152">
        <f>COUNTIFS('Données brutes'!F:F,"But",'Données brutes'!E:E,"JULIE",'Données brutes'!G:G,"ALG")</f>
        <v>0</v>
      </c>
      <c r="D51" s="90">
        <f>COUNTIFS('Données brutes'!F:F,"Ar GB",'Données brutes'!E:E,"JULIE",'Données brutes'!G:G,"ALG")</f>
        <v>0</v>
      </c>
      <c r="E51" s="90">
        <f>COUNTIFS('Données brutes'!F:F,"HC",'Données brutes'!E:E,"JULIE",'Données brutes'!G:G,"ALG")</f>
        <v>0</v>
      </c>
      <c r="F51" s="90">
        <f>COUNTIFS('Données brutes'!F:F,"tir raté NC",'Données brutes'!E:E,"JULIE",'Données brutes'!G:G,"ALG")</f>
        <v>0</v>
      </c>
      <c r="G51" s="121"/>
      <c r="H51" s="407" t="s">
        <v>295</v>
      </c>
      <c r="I51" s="32" t="s">
        <v>15</v>
      </c>
      <c r="J51" s="91">
        <f>$C51</f>
        <v>0</v>
      </c>
      <c r="K51" s="90">
        <f>$C51+$D51+$E51</f>
        <v>0</v>
      </c>
      <c r="L51" s="92" t="e">
        <f>J51/K51</f>
        <v>#DIV/0!</v>
      </c>
      <c r="M51" s="404" t="s">
        <v>295</v>
      </c>
      <c r="N51" s="496" t="s">
        <v>394</v>
      </c>
      <c r="O51" s="496"/>
      <c r="P51" s="497"/>
      <c r="Q51" s="62"/>
      <c r="R51" s="62"/>
      <c r="S51" s="407" t="s">
        <v>295</v>
      </c>
      <c r="T51" s="32" t="s">
        <v>15</v>
      </c>
      <c r="U51" s="91">
        <f>$J51/$R$2</f>
        <v>0</v>
      </c>
      <c r="V51" s="90">
        <f>$K51/$R$2</f>
        <v>0</v>
      </c>
      <c r="W51" s="92" t="e">
        <f>U51/V51</f>
        <v>#DIV/0!</v>
      </c>
    </row>
    <row r="52" spans="1:23" ht="15" thickBot="1" x14ac:dyDescent="0.4">
      <c r="A52" s="404"/>
      <c r="B52" s="13" t="s">
        <v>282</v>
      </c>
      <c r="C52" s="153">
        <f>COUNTIFS('Données brutes'!F:F,"But",'Données brutes'!E:E,"JULIE",'Données brutes'!G:G,"1 2")</f>
        <v>0</v>
      </c>
      <c r="D52" s="61">
        <f>COUNTIFS('Données brutes'!F:F,"Ar GB",'Données brutes'!E:E,"JULIE",'Données brutes'!G:G,"1 2")</f>
        <v>0</v>
      </c>
      <c r="E52" s="61">
        <f>COUNTIFS('Données brutes'!F:F,"HC",'Données brutes'!E:E,"JULIE",'Données brutes'!G:G,"1 2")</f>
        <v>0</v>
      </c>
      <c r="F52" s="90">
        <f>COUNTIFS('Données brutes'!F:F,"tir raté NC",'Données brutes'!E:E,"JULIE",'Données brutes'!G:G,"1 2")</f>
        <v>0</v>
      </c>
      <c r="G52" s="62"/>
      <c r="H52" s="404"/>
      <c r="I52" s="33" t="s">
        <v>282</v>
      </c>
      <c r="J52" s="91">
        <f t="shared" ref="J52:J71" si="18">$C52</f>
        <v>0</v>
      </c>
      <c r="K52" s="90">
        <f t="shared" ref="K52:K71" si="19">$C52+$D52+$E52</f>
        <v>0</v>
      </c>
      <c r="L52" s="92" t="e">
        <f t="shared" ref="L52:L71" si="20">J52/K52</f>
        <v>#DIV/0!</v>
      </c>
      <c r="M52" s="404"/>
      <c r="N52" s="319">
        <f>J51+J57</f>
        <v>8</v>
      </c>
      <c r="O52" s="319">
        <f>K51+K57</f>
        <v>14</v>
      </c>
      <c r="P52" s="322">
        <f>N52/O52</f>
        <v>0.5714285714285714</v>
      </c>
      <c r="Q52" s="62"/>
      <c r="R52" s="62"/>
      <c r="S52" s="404"/>
      <c r="T52" s="33" t="s">
        <v>282</v>
      </c>
      <c r="U52" s="91">
        <f t="shared" ref="U52:U71" si="21">$J52/$R$2</f>
        <v>0</v>
      </c>
      <c r="V52" s="90">
        <f t="shared" ref="V52:V71" si="22">$K52/$R$2</f>
        <v>0</v>
      </c>
      <c r="W52" s="92" t="e">
        <f t="shared" ref="W52:W71" si="23">U52/V52</f>
        <v>#DIV/0!</v>
      </c>
    </row>
    <row r="53" spans="1:23" ht="15" thickBot="1" x14ac:dyDescent="0.4">
      <c r="A53" s="404"/>
      <c r="B53" s="13" t="s">
        <v>297</v>
      </c>
      <c r="C53" s="153">
        <f>COUNTIFS('Données brutes'!F:F,"But",'Données brutes'!E:E,"JULIE",'Données brutes'!G:G,"2 3")</f>
        <v>0</v>
      </c>
      <c r="D53" s="61">
        <f>COUNTIFS('Données brutes'!F:F,"Ar GB",'Données brutes'!E:E,"JULIE",'Données brutes'!G:G,"2 3")</f>
        <v>0</v>
      </c>
      <c r="E53" s="61">
        <f>COUNTIFS('Données brutes'!F:F,"HC",'Données brutes'!E:E,"JULIE",'Données brutes'!G:G,"2 3")</f>
        <v>0</v>
      </c>
      <c r="F53" s="90">
        <f>COUNTIFS('Données brutes'!F:F,"tir raté NC",'Données brutes'!E:E,"JULIE",'Données brutes'!G:G,"2 3")</f>
        <v>0</v>
      </c>
      <c r="G53" s="62"/>
      <c r="H53" s="404"/>
      <c r="I53" s="33" t="s">
        <v>297</v>
      </c>
      <c r="J53" s="91">
        <f t="shared" si="18"/>
        <v>0</v>
      </c>
      <c r="K53" s="90">
        <f t="shared" si="19"/>
        <v>0</v>
      </c>
      <c r="L53" s="92" t="e">
        <f t="shared" si="20"/>
        <v>#DIV/0!</v>
      </c>
      <c r="M53" s="404"/>
      <c r="N53" s="498" t="s">
        <v>395</v>
      </c>
      <c r="O53" s="498"/>
      <c r="P53" s="499"/>
      <c r="Q53" s="62"/>
      <c r="R53" s="62"/>
      <c r="S53" s="404"/>
      <c r="T53" s="33" t="s">
        <v>297</v>
      </c>
      <c r="U53" s="91">
        <f t="shared" si="21"/>
        <v>0</v>
      </c>
      <c r="V53" s="90">
        <f t="shared" si="22"/>
        <v>0</v>
      </c>
      <c r="W53" s="92" t="e">
        <f t="shared" si="23"/>
        <v>#DIV/0!</v>
      </c>
    </row>
    <row r="54" spans="1:23" ht="15" thickBot="1" x14ac:dyDescent="0.4">
      <c r="A54" s="404"/>
      <c r="B54" s="13" t="s">
        <v>296</v>
      </c>
      <c r="C54" s="153">
        <f>COUNTIFS('Données brutes'!F:F,"But",'Données brutes'!E:E,"JULIE",'Données brutes'!G:G,"3 4")</f>
        <v>0</v>
      </c>
      <c r="D54" s="61">
        <f>COUNTIFS('Données brutes'!F:F,"Ar GB",'Données brutes'!E:E,"JULIE",'Données brutes'!G:G,"3 4")</f>
        <v>0</v>
      </c>
      <c r="E54" s="61">
        <f>COUNTIFS('Données brutes'!F:F,"HC",'Données brutes'!E:E,"JULIE",'Données brutes'!G:G,"3 4")</f>
        <v>0</v>
      </c>
      <c r="F54" s="90">
        <f>COUNTIFS('Données brutes'!F:F,"tir raté NC",'Données brutes'!E:E,"JULIE",'Données brutes'!G:G,"3 4")</f>
        <v>0</v>
      </c>
      <c r="G54" s="62"/>
      <c r="H54" s="404"/>
      <c r="I54" s="33" t="s">
        <v>296</v>
      </c>
      <c r="J54" s="91">
        <f t="shared" si="18"/>
        <v>0</v>
      </c>
      <c r="K54" s="90">
        <f t="shared" si="19"/>
        <v>0</v>
      </c>
      <c r="L54" s="92" t="e">
        <f t="shared" si="20"/>
        <v>#DIV/0!</v>
      </c>
      <c r="M54" s="404"/>
      <c r="N54" s="319">
        <f>J52+J56</f>
        <v>0</v>
      </c>
      <c r="O54" s="319">
        <f>K52+K56</f>
        <v>0</v>
      </c>
      <c r="P54" s="323" t="e">
        <f>N54/O54</f>
        <v>#DIV/0!</v>
      </c>
      <c r="Q54" s="62"/>
      <c r="R54" s="62"/>
      <c r="S54" s="404"/>
      <c r="T54" s="33" t="s">
        <v>296</v>
      </c>
      <c r="U54" s="91">
        <f t="shared" si="21"/>
        <v>0</v>
      </c>
      <c r="V54" s="90">
        <f t="shared" si="22"/>
        <v>0</v>
      </c>
      <c r="W54" s="92" t="e">
        <f t="shared" si="23"/>
        <v>#DIV/0!</v>
      </c>
    </row>
    <row r="55" spans="1:23" ht="15" thickBot="1" x14ac:dyDescent="0.4">
      <c r="A55" s="404"/>
      <c r="B55" s="13" t="s">
        <v>298</v>
      </c>
      <c r="C55" s="153">
        <f>COUNTIFS('Données brutes'!F:F,"But",'Données brutes'!E:E,"JULIE",'Données brutes'!G:G,"4 5")</f>
        <v>0</v>
      </c>
      <c r="D55" s="61">
        <f>COUNTIFS('Données brutes'!F:F,"Ar GB",'Données brutes'!E:E,"JULIE",'Données brutes'!G:G,"4 5")</f>
        <v>0</v>
      </c>
      <c r="E55" s="61">
        <f>COUNTIFS('Données brutes'!F:F,"HC",'Données brutes'!E:E,"JULIE",'Données brutes'!G:G,"4 5")</f>
        <v>0</v>
      </c>
      <c r="F55" s="90">
        <f>COUNTIFS('Données brutes'!F:F,"tir raté NC",'Données brutes'!E:E,"JULIE",'Données brutes'!G:G,"4 5")</f>
        <v>0</v>
      </c>
      <c r="G55" s="62"/>
      <c r="H55" s="404"/>
      <c r="I55" s="33" t="s">
        <v>298</v>
      </c>
      <c r="J55" s="91">
        <f t="shared" si="18"/>
        <v>0</v>
      </c>
      <c r="K55" s="90">
        <f t="shared" si="19"/>
        <v>0</v>
      </c>
      <c r="L55" s="92" t="e">
        <f t="shared" si="20"/>
        <v>#DIV/0!</v>
      </c>
      <c r="M55" s="404"/>
      <c r="N55" s="498" t="s">
        <v>396</v>
      </c>
      <c r="O55" s="498"/>
      <c r="P55" s="499"/>
      <c r="Q55" s="62"/>
      <c r="R55" s="62"/>
      <c r="S55" s="404"/>
      <c r="T55" s="33" t="s">
        <v>298</v>
      </c>
      <c r="U55" s="91">
        <f t="shared" si="21"/>
        <v>0</v>
      </c>
      <c r="V55" s="90">
        <f t="shared" si="22"/>
        <v>0</v>
      </c>
      <c r="W55" s="92" t="e">
        <f t="shared" si="23"/>
        <v>#DIV/0!</v>
      </c>
    </row>
    <row r="56" spans="1:23" ht="15" thickBot="1" x14ac:dyDescent="0.4">
      <c r="A56" s="404"/>
      <c r="B56" s="13" t="s">
        <v>283</v>
      </c>
      <c r="C56" s="153">
        <f>COUNTIFS('Données brutes'!F:F,"But",'Données brutes'!E:E,"JULIE",'Données brutes'!G:G,"5 6")</f>
        <v>0</v>
      </c>
      <c r="D56" s="61">
        <f>COUNTIFS('Données brutes'!F:F,"Ar GB",'Données brutes'!E:E,"JULIE",'Données brutes'!G:G,"5 6")</f>
        <v>0</v>
      </c>
      <c r="E56" s="61">
        <f>COUNTIFS('Données brutes'!F:F,"HC",'Données brutes'!E:E,"JULIE",'Données brutes'!G:G,"5 6")</f>
        <v>0</v>
      </c>
      <c r="F56" s="90">
        <f>COUNTIFS('Données brutes'!F:F,"tir raté NC",'Données brutes'!E:E,"JULIE",'Données brutes'!G:G,"5 6")</f>
        <v>0</v>
      </c>
      <c r="G56" s="62"/>
      <c r="H56" s="404"/>
      <c r="I56" s="33" t="s">
        <v>283</v>
      </c>
      <c r="J56" s="91">
        <f t="shared" si="18"/>
        <v>0</v>
      </c>
      <c r="K56" s="90">
        <f t="shared" si="19"/>
        <v>0</v>
      </c>
      <c r="L56" s="92" t="e">
        <f t="shared" si="20"/>
        <v>#DIV/0!</v>
      </c>
      <c r="M56" s="404"/>
      <c r="N56" s="319">
        <f>J53+J54+J55</f>
        <v>0</v>
      </c>
      <c r="O56" s="319">
        <f>K53+K54+K55</f>
        <v>0</v>
      </c>
      <c r="P56" s="323" t="e">
        <f>N56/O56</f>
        <v>#DIV/0!</v>
      </c>
      <c r="Q56" s="62"/>
      <c r="R56" s="62"/>
      <c r="S56" s="404"/>
      <c r="T56" s="33" t="s">
        <v>283</v>
      </c>
      <c r="U56" s="91">
        <f t="shared" si="21"/>
        <v>0</v>
      </c>
      <c r="V56" s="90">
        <f t="shared" si="22"/>
        <v>0</v>
      </c>
      <c r="W56" s="92" t="e">
        <f t="shared" si="23"/>
        <v>#DIV/0!</v>
      </c>
    </row>
    <row r="57" spans="1:23" ht="15" thickBot="1" x14ac:dyDescent="0.4">
      <c r="A57" s="490"/>
      <c r="B57" s="36" t="s">
        <v>17</v>
      </c>
      <c r="C57" s="154">
        <f>COUNTIFS('Données brutes'!F:F,"But",'Données brutes'!E:E,"JULIE",'Données brutes'!G:G,"ALD")</f>
        <v>8</v>
      </c>
      <c r="D57" s="155">
        <f>COUNTIFS('Données brutes'!F:F,"Ar GB",'Données brutes'!E:E,"JULIE",'Données brutes'!G:G,"ALD")</f>
        <v>4</v>
      </c>
      <c r="E57" s="155">
        <f>COUNTIFS('Données brutes'!F:F,"HC",'Données brutes'!E:E,"JULIE",'Données brutes'!G:G,"ALD")</f>
        <v>2</v>
      </c>
      <c r="F57" s="90">
        <f>COUNTIFS('Données brutes'!F:F,"tir raté NC",'Données brutes'!E:E,"JULIE",'Données brutes'!G:G,"ALD")</f>
        <v>0</v>
      </c>
      <c r="G57" s="122"/>
      <c r="H57" s="490"/>
      <c r="I57" s="73" t="s">
        <v>17</v>
      </c>
      <c r="J57" s="91">
        <f t="shared" si="18"/>
        <v>8</v>
      </c>
      <c r="K57" s="90">
        <f t="shared" si="19"/>
        <v>14</v>
      </c>
      <c r="L57" s="92">
        <f t="shared" si="20"/>
        <v>0.5714285714285714</v>
      </c>
      <c r="M57" s="404"/>
      <c r="N57" s="325"/>
      <c r="O57" s="325"/>
      <c r="P57" s="326"/>
      <c r="Q57" s="62"/>
      <c r="R57" s="62"/>
      <c r="S57" s="490"/>
      <c r="T57" s="73" t="s">
        <v>17</v>
      </c>
      <c r="U57" s="91">
        <f t="shared" si="21"/>
        <v>2</v>
      </c>
      <c r="V57" s="90">
        <f t="shared" si="22"/>
        <v>3.5</v>
      </c>
      <c r="W57" s="92">
        <f t="shared" si="23"/>
        <v>0.5714285714285714</v>
      </c>
    </row>
    <row r="58" spans="1:23" ht="15" customHeight="1" thickBot="1" x14ac:dyDescent="0.4">
      <c r="A58" s="491" t="s">
        <v>299</v>
      </c>
      <c r="B58" s="87" t="s">
        <v>301</v>
      </c>
      <c r="C58" s="152">
        <f>COUNTIFS('Données brutes'!F:F,"But",'Données brutes'!E:E,"JULIE",'Données brutes'!G:G,"Central 7m 9m appui")</f>
        <v>0</v>
      </c>
      <c r="D58" s="90">
        <f>COUNTIFS('Données brutes'!F:F,"Ar GB",'Données brutes'!E:E,"JULIE",'Données brutes'!G:G,"Central 7m 9m appui")</f>
        <v>0</v>
      </c>
      <c r="E58" s="90">
        <f>COUNTIFS('Données brutes'!F:F,"HC",'Données brutes'!E:E,"JULIE",'Données brutes'!G:G,"Central 7m 9m appui")</f>
        <v>0</v>
      </c>
      <c r="F58" s="90">
        <f>COUNTIFS('Données brutes'!F:F,"tir raté NC",'Données brutes'!E:E,"JULIE",'Données brutes'!G:G,"ALD")</f>
        <v>0</v>
      </c>
      <c r="G58" s="121"/>
      <c r="H58" s="491" t="s">
        <v>299</v>
      </c>
      <c r="I58" s="32" t="s">
        <v>301</v>
      </c>
      <c r="J58" s="91">
        <f t="shared" si="18"/>
        <v>0</v>
      </c>
      <c r="K58" s="90">
        <f t="shared" si="19"/>
        <v>0</v>
      </c>
      <c r="L58" s="92" t="e">
        <f t="shared" si="20"/>
        <v>#DIV/0!</v>
      </c>
      <c r="M58" s="495" t="s">
        <v>299</v>
      </c>
      <c r="N58" s="319">
        <f>SUM(J58:J60)</f>
        <v>0</v>
      </c>
      <c r="O58" s="319">
        <f>SUM(K58:K60)</f>
        <v>0</v>
      </c>
      <c r="P58" s="322" t="e">
        <f>N58/O58</f>
        <v>#DIV/0!</v>
      </c>
      <c r="Q58" s="62"/>
      <c r="R58" s="62"/>
      <c r="S58" s="491" t="s">
        <v>299</v>
      </c>
      <c r="T58" s="32" t="s">
        <v>301</v>
      </c>
      <c r="U58" s="91">
        <f t="shared" si="21"/>
        <v>0</v>
      </c>
      <c r="V58" s="90">
        <f t="shared" si="22"/>
        <v>0</v>
      </c>
      <c r="W58" s="92" t="e">
        <f t="shared" si="23"/>
        <v>#DIV/0!</v>
      </c>
    </row>
    <row r="59" spans="1:23" ht="15" thickBot="1" x14ac:dyDescent="0.4">
      <c r="A59" s="495"/>
      <c r="B59" s="13" t="s">
        <v>302</v>
      </c>
      <c r="C59" s="153">
        <f>COUNTIFS('Données brutes'!F:F,"But",'Données brutes'!E:E,"JULIE",'Données brutes'!G:G,"7m 9m Ext G appui")</f>
        <v>0</v>
      </c>
      <c r="D59" s="61">
        <f>COUNTIFS('Données brutes'!F:F,"Ar GB",'Données brutes'!E:E,"JULIE",'Données brutes'!G:G,"7m 9m Ext G appui")</f>
        <v>0</v>
      </c>
      <c r="E59" s="61">
        <f>COUNTIFS('Données brutes'!F:F,"HC",'Données brutes'!E:E,"JULIE",'Données brutes'!G:G,"7m 9m Ext G appui")</f>
        <v>0</v>
      </c>
      <c r="F59" s="90">
        <f>COUNTIFS('Données brutes'!F:F,"tir raté NC",'Données brutes'!E:E,"JULIE",'Données brutes'!G:G,"7m 9m Ext G appui")</f>
        <v>0</v>
      </c>
      <c r="G59" s="62"/>
      <c r="H59" s="495"/>
      <c r="I59" s="33" t="s">
        <v>302</v>
      </c>
      <c r="J59" s="91">
        <f t="shared" si="18"/>
        <v>0</v>
      </c>
      <c r="K59" s="90">
        <f t="shared" si="19"/>
        <v>0</v>
      </c>
      <c r="L59" s="92" t="e">
        <f t="shared" si="20"/>
        <v>#DIV/0!</v>
      </c>
      <c r="M59" s="495"/>
      <c r="N59" s="325"/>
      <c r="O59" s="325"/>
      <c r="P59" s="326"/>
      <c r="Q59" s="62"/>
      <c r="R59" s="62"/>
      <c r="S59" s="495"/>
      <c r="T59" s="33" t="s">
        <v>302</v>
      </c>
      <c r="U59" s="91">
        <f t="shared" si="21"/>
        <v>0</v>
      </c>
      <c r="V59" s="90">
        <f t="shared" si="22"/>
        <v>0</v>
      </c>
      <c r="W59" s="92" t="e">
        <f t="shared" si="23"/>
        <v>#DIV/0!</v>
      </c>
    </row>
    <row r="60" spans="1:23" ht="15" thickBot="1" x14ac:dyDescent="0.4">
      <c r="A60" s="492"/>
      <c r="B60" s="36" t="s">
        <v>303</v>
      </c>
      <c r="C60" s="154">
        <f>COUNTIFS('Données brutes'!F:F,"But",'Données brutes'!E:E,"JULIE",'Données brutes'!G:G,"7m 9m Ext D appui")</f>
        <v>0</v>
      </c>
      <c r="D60" s="155">
        <f>COUNTIFS('Données brutes'!F:F,"Ar GB",'Données brutes'!E:E,"JULIE",'Données brutes'!G:G,"7m 9m Ext D appui")</f>
        <v>0</v>
      </c>
      <c r="E60" s="155">
        <f>COUNTIFS('Données brutes'!F:F,"HC",'Données brutes'!E:E,"JULIE",'Données brutes'!G:G,"7m 9m Ext D appui")</f>
        <v>0</v>
      </c>
      <c r="F60" s="90">
        <f>COUNTIFS('Données brutes'!F:F,"tir raté NC",'Données brutes'!E:E,"JULIE",'Données brutes'!G:G,"ALD")</f>
        <v>0</v>
      </c>
      <c r="G60" s="122"/>
      <c r="H60" s="492"/>
      <c r="I60" s="73" t="s">
        <v>303</v>
      </c>
      <c r="J60" s="91">
        <f t="shared" si="18"/>
        <v>0</v>
      </c>
      <c r="K60" s="90">
        <f t="shared" si="19"/>
        <v>0</v>
      </c>
      <c r="L60" s="92" t="e">
        <f t="shared" si="20"/>
        <v>#DIV/0!</v>
      </c>
      <c r="M60" s="495"/>
      <c r="N60" s="325"/>
      <c r="O60" s="325"/>
      <c r="P60" s="326"/>
      <c r="Q60" s="62"/>
      <c r="R60" s="62"/>
      <c r="S60" s="492"/>
      <c r="T60" s="73" t="s">
        <v>303</v>
      </c>
      <c r="U60" s="91">
        <f t="shared" si="21"/>
        <v>0</v>
      </c>
      <c r="V60" s="90">
        <f t="shared" si="22"/>
        <v>0</v>
      </c>
      <c r="W60" s="92" t="e">
        <f t="shared" si="23"/>
        <v>#DIV/0!</v>
      </c>
    </row>
    <row r="61" spans="1:23" ht="15" customHeight="1" thickBot="1" x14ac:dyDescent="0.4">
      <c r="A61" s="493" t="s">
        <v>300</v>
      </c>
      <c r="B61" s="87" t="s">
        <v>304</v>
      </c>
      <c r="C61" s="152">
        <f>COUNTIFS('Données brutes'!F:F,"But",'Données brutes'!E:E,"JULIE",'Données brutes'!G:G,"7m 9m central suspension")</f>
        <v>0</v>
      </c>
      <c r="D61" s="90">
        <f>COUNTIFS('Données brutes'!F:F,"Ar GB",'Données brutes'!E:E,"JULIE",'Données brutes'!G:G,"7m 9m central suspension")</f>
        <v>0</v>
      </c>
      <c r="E61" s="90">
        <f>COUNTIFS('Données brutes'!F:F,"HC",'Données brutes'!E:E,"JULIE",'Données brutes'!G:G,"7m 9m central suspension")</f>
        <v>0</v>
      </c>
      <c r="F61" s="90">
        <f>COUNTIFS('Données brutes'!F:F,"tir raté NC",'Données brutes'!E:E,"JULIE",'Données brutes'!G:G,"ALD")</f>
        <v>0</v>
      </c>
      <c r="G61" s="121"/>
      <c r="H61" s="493" t="s">
        <v>300</v>
      </c>
      <c r="I61" s="32" t="s">
        <v>304</v>
      </c>
      <c r="J61" s="91">
        <f t="shared" si="18"/>
        <v>0</v>
      </c>
      <c r="K61" s="90">
        <f t="shared" si="19"/>
        <v>0</v>
      </c>
      <c r="L61" s="92" t="e">
        <f t="shared" si="20"/>
        <v>#DIV/0!</v>
      </c>
      <c r="M61" s="495" t="s">
        <v>300</v>
      </c>
      <c r="N61" s="319">
        <f>SUM(J61:J63)</f>
        <v>0</v>
      </c>
      <c r="O61" s="319">
        <f>SUM(K61:K63)</f>
        <v>0</v>
      </c>
      <c r="P61" s="322" t="e">
        <f>N61/O61</f>
        <v>#DIV/0!</v>
      </c>
      <c r="Q61" s="62"/>
      <c r="R61" s="62"/>
      <c r="S61" s="493" t="s">
        <v>300</v>
      </c>
      <c r="T61" s="32" t="s">
        <v>304</v>
      </c>
      <c r="U61" s="91">
        <f t="shared" si="21"/>
        <v>0</v>
      </c>
      <c r="V61" s="90">
        <f t="shared" si="22"/>
        <v>0</v>
      </c>
      <c r="W61" s="92" t="e">
        <f t="shared" si="23"/>
        <v>#DIV/0!</v>
      </c>
    </row>
    <row r="62" spans="1:23" ht="15" thickBot="1" x14ac:dyDescent="0.4">
      <c r="A62" s="506"/>
      <c r="B62" s="13" t="s">
        <v>305</v>
      </c>
      <c r="C62" s="153">
        <f>COUNTIFS('Données brutes'!F:F,"But",'Données brutes'!E:E,"JULIE",'Données brutes'!G:G,"7m 9m Ext G suspension")</f>
        <v>0</v>
      </c>
      <c r="D62" s="61">
        <f>COUNTIFS('Données brutes'!F:F,"Ar GB",'Données brutes'!E:E,"JULIE",'Données brutes'!G:G,"7m 9m Ext G suspension")</f>
        <v>0</v>
      </c>
      <c r="E62" s="61">
        <f>COUNTIFS('Données brutes'!F:F,"HC",'Données brutes'!E:E,"JULIE",'Données brutes'!G:G,"7m 9m Ext G suspension")</f>
        <v>0</v>
      </c>
      <c r="F62" s="90">
        <f>COUNTIFS('Données brutes'!F:F,"tir raté NC",'Données brutes'!E:E,"JULIE",'Données brutes'!G:G,"ALD")</f>
        <v>0</v>
      </c>
      <c r="G62" s="62"/>
      <c r="H62" s="506"/>
      <c r="I62" s="33" t="s">
        <v>305</v>
      </c>
      <c r="J62" s="91">
        <f t="shared" si="18"/>
        <v>0</v>
      </c>
      <c r="K62" s="90">
        <f t="shared" si="19"/>
        <v>0</v>
      </c>
      <c r="L62" s="92" t="e">
        <f t="shared" si="20"/>
        <v>#DIV/0!</v>
      </c>
      <c r="M62" s="495"/>
      <c r="N62" s="325"/>
      <c r="O62" s="325"/>
      <c r="P62" s="326"/>
      <c r="Q62" s="62"/>
      <c r="R62" s="62"/>
      <c r="S62" s="506"/>
      <c r="T62" s="33" t="s">
        <v>305</v>
      </c>
      <c r="U62" s="91">
        <f t="shared" si="21"/>
        <v>0</v>
      </c>
      <c r="V62" s="90">
        <f t="shared" si="22"/>
        <v>0</v>
      </c>
      <c r="W62" s="92" t="e">
        <f t="shared" si="23"/>
        <v>#DIV/0!</v>
      </c>
    </row>
    <row r="63" spans="1:23" ht="15" thickBot="1" x14ac:dyDescent="0.4">
      <c r="A63" s="494"/>
      <c r="B63" s="36" t="s">
        <v>306</v>
      </c>
      <c r="C63" s="153">
        <f>COUNTIFS('Données brutes'!F:F,"But",'Données brutes'!E:E,"JULIE",'Données brutes'!G:G,"7m 9m Ext D suspension")</f>
        <v>0</v>
      </c>
      <c r="D63" s="61">
        <f>COUNTIFS('Données brutes'!F:F,"Ar GB",'Données brutes'!E:E,"JULIE",'Données brutes'!G:G,"7m 9m Ext D suspension")</f>
        <v>0</v>
      </c>
      <c r="E63" s="61">
        <f>COUNTIFS('Données brutes'!F:F,"HC",'Données brutes'!E:E,"JULIE",'Données brutes'!G:G,"7m 9m Ext D suspension")</f>
        <v>0</v>
      </c>
      <c r="F63" s="90">
        <f>COUNTIFS('Données brutes'!F:F,"tir raté NC",'Données brutes'!E:E,"JULIE",'Données brutes'!G:G,"7m 9m Ext D suspension")</f>
        <v>0</v>
      </c>
      <c r="G63" s="122"/>
      <c r="H63" s="494"/>
      <c r="I63" s="73" t="s">
        <v>306</v>
      </c>
      <c r="J63" s="91">
        <f t="shared" si="18"/>
        <v>0</v>
      </c>
      <c r="K63" s="90">
        <f t="shared" si="19"/>
        <v>0</v>
      </c>
      <c r="L63" s="92" t="e">
        <f t="shared" si="20"/>
        <v>#DIV/0!</v>
      </c>
      <c r="M63" s="495"/>
      <c r="N63" s="325"/>
      <c r="O63" s="325"/>
      <c r="P63" s="326"/>
      <c r="Q63" s="62"/>
      <c r="R63" s="62"/>
      <c r="S63" s="494"/>
      <c r="T63" s="73" t="s">
        <v>306</v>
      </c>
      <c r="U63" s="91">
        <f t="shared" si="21"/>
        <v>0</v>
      </c>
      <c r="V63" s="90">
        <f t="shared" si="22"/>
        <v>0</v>
      </c>
      <c r="W63" s="92" t="e">
        <f t="shared" si="23"/>
        <v>#DIV/0!</v>
      </c>
    </row>
    <row r="64" spans="1:23" ht="15" thickBot="1" x14ac:dyDescent="0.4">
      <c r="A64" s="407" t="s">
        <v>146</v>
      </c>
      <c r="B64" s="87" t="s">
        <v>307</v>
      </c>
      <c r="C64" s="152">
        <f>COUNTIFS('Données brutes'!F:F,"But",'Données brutes'!E:E,"JULIE",'Données brutes'!G:G,"9m G")</f>
        <v>0</v>
      </c>
      <c r="D64" s="90">
        <f>COUNTIFS('Données brutes'!F:F,"Ar GB",'Données brutes'!E:E,"JULIE",'Données brutes'!G:G,"9m G")</f>
        <v>0</v>
      </c>
      <c r="E64" s="90">
        <f>COUNTIFS('Données brutes'!F:F,"HC",'Données brutes'!E:E,"JULIE",'Données brutes'!G:G,"9m G")</f>
        <v>0</v>
      </c>
      <c r="F64" s="90">
        <f>COUNTIFS('Données brutes'!F:F,"tir raté NC",'Données brutes'!E:E,"JULIE",'Données brutes'!G:G,"9m G")</f>
        <v>0</v>
      </c>
      <c r="G64" s="121"/>
      <c r="H64" s="407" t="s">
        <v>146</v>
      </c>
      <c r="I64" s="32" t="s">
        <v>307</v>
      </c>
      <c r="J64" s="91">
        <f t="shared" si="18"/>
        <v>0</v>
      </c>
      <c r="K64" s="90">
        <f t="shared" si="19"/>
        <v>0</v>
      </c>
      <c r="L64" s="92" t="e">
        <f t="shared" si="20"/>
        <v>#DIV/0!</v>
      </c>
      <c r="M64" s="404" t="s">
        <v>146</v>
      </c>
      <c r="N64" s="319">
        <f>SUM(J64:J66)</f>
        <v>0</v>
      </c>
      <c r="O64" s="319">
        <f>SUM(K64:K66)</f>
        <v>0</v>
      </c>
      <c r="P64" s="322" t="e">
        <f>N64/O64</f>
        <v>#DIV/0!</v>
      </c>
      <c r="Q64" s="62"/>
      <c r="R64" s="62"/>
      <c r="S64" s="407" t="s">
        <v>146</v>
      </c>
      <c r="T64" s="32" t="s">
        <v>307</v>
      </c>
      <c r="U64" s="91">
        <f t="shared" si="21"/>
        <v>0</v>
      </c>
      <c r="V64" s="90">
        <f t="shared" si="22"/>
        <v>0</v>
      </c>
      <c r="W64" s="92" t="e">
        <f t="shared" si="23"/>
        <v>#DIV/0!</v>
      </c>
    </row>
    <row r="65" spans="1:23" ht="15" thickBot="1" x14ac:dyDescent="0.4">
      <c r="A65" s="404"/>
      <c r="B65" s="13" t="s">
        <v>308</v>
      </c>
      <c r="C65" s="152">
        <f>COUNTIFS('Données brutes'!F:F,"But",'Données brutes'!E:E,"JULIE",'Données brutes'!G:G,"9m +")</f>
        <v>0</v>
      </c>
      <c r="D65" s="90">
        <f>COUNTIFS('Données brutes'!F:F,"Ar GB",'Données brutes'!E:E,"JULIE",'Données brutes'!G:G,"9m +")</f>
        <v>0</v>
      </c>
      <c r="E65" s="90">
        <f>COUNTIFS('Données brutes'!F:F,"HC",'Données brutes'!E:E,"JULIE",'Données brutes'!G:G,"9m +")</f>
        <v>0</v>
      </c>
      <c r="F65" s="90">
        <f>COUNTIFS('Données brutes'!F:F,"tir raté NC",'Données brutes'!E:E,"JULIE",'Données brutes'!G:G,"9m +")</f>
        <v>0</v>
      </c>
      <c r="G65" s="62"/>
      <c r="H65" s="404"/>
      <c r="I65" s="33" t="s">
        <v>308</v>
      </c>
      <c r="J65" s="91">
        <f t="shared" si="18"/>
        <v>0</v>
      </c>
      <c r="K65" s="90">
        <f t="shared" si="19"/>
        <v>0</v>
      </c>
      <c r="L65" s="92" t="e">
        <f t="shared" si="20"/>
        <v>#DIV/0!</v>
      </c>
      <c r="M65" s="404"/>
      <c r="N65" s="325"/>
      <c r="O65" s="325"/>
      <c r="P65" s="326"/>
      <c r="Q65" s="62"/>
      <c r="R65" s="62"/>
      <c r="S65" s="404"/>
      <c r="T65" s="33" t="s">
        <v>308</v>
      </c>
      <c r="U65" s="91">
        <f t="shared" si="21"/>
        <v>0</v>
      </c>
      <c r="V65" s="90">
        <f t="shared" si="22"/>
        <v>0</v>
      </c>
      <c r="W65" s="92" t="e">
        <f t="shared" si="23"/>
        <v>#DIV/0!</v>
      </c>
    </row>
    <row r="66" spans="1:23" ht="15" thickBot="1" x14ac:dyDescent="0.4">
      <c r="A66" s="490"/>
      <c r="B66" s="36" t="s">
        <v>309</v>
      </c>
      <c r="C66" s="152">
        <f>COUNTIFS('Données brutes'!F:F,"But",'Données brutes'!E:E,"JULIE",'Données brutes'!G:G,"9m D")</f>
        <v>0</v>
      </c>
      <c r="D66" s="90">
        <f>COUNTIFS('Données brutes'!F:F,"Ar GB",'Données brutes'!E:E,"JULIE",'Données brutes'!G:G,"9m D")</f>
        <v>0</v>
      </c>
      <c r="E66" s="90">
        <f>COUNTIFS('Données brutes'!F:F,"HC",'Données brutes'!E:E,"JULIE",'Données brutes'!G:G,"9m D")</f>
        <v>0</v>
      </c>
      <c r="F66" s="90">
        <f>COUNTIFS('Données brutes'!F:F,"tir raté NC",'Données brutes'!E:E,"JULIE",'Données brutes'!G:G,"9m D")</f>
        <v>0</v>
      </c>
      <c r="G66" s="122"/>
      <c r="H66" s="490"/>
      <c r="I66" s="73" t="s">
        <v>309</v>
      </c>
      <c r="J66" s="91">
        <f t="shared" si="18"/>
        <v>0</v>
      </c>
      <c r="K66" s="90">
        <f t="shared" si="19"/>
        <v>0</v>
      </c>
      <c r="L66" s="92" t="e">
        <f t="shared" si="20"/>
        <v>#DIV/0!</v>
      </c>
      <c r="M66" s="404"/>
      <c r="N66" s="325"/>
      <c r="O66" s="325"/>
      <c r="P66" s="326"/>
      <c r="Q66" s="62"/>
      <c r="R66" s="62"/>
      <c r="S66" s="490"/>
      <c r="T66" s="73" t="s">
        <v>309</v>
      </c>
      <c r="U66" s="91">
        <f t="shared" si="21"/>
        <v>0</v>
      </c>
      <c r="V66" s="90">
        <f t="shared" si="22"/>
        <v>0</v>
      </c>
      <c r="W66" s="92" t="e">
        <f t="shared" si="23"/>
        <v>#DIV/0!</v>
      </c>
    </row>
    <row r="67" spans="1:23" ht="15" customHeight="1" thickBot="1" x14ac:dyDescent="0.4">
      <c r="A67" s="493" t="s">
        <v>310</v>
      </c>
      <c r="B67" s="87" t="s">
        <v>22</v>
      </c>
      <c r="C67" s="152">
        <f>COUNTIFS('Données brutes'!F:F,"But",'Données brutes'!E:E,"JULIE",'Données brutes'!G:G,"But vide")</f>
        <v>0</v>
      </c>
      <c r="D67" s="90">
        <f>COUNTIFS('Données brutes'!F:F,"Ar GB",'Données brutes'!E:E,"JULIE",'Données brutes'!G:G,"But vide")</f>
        <v>0</v>
      </c>
      <c r="E67" s="90">
        <f>COUNTIFS('Données brutes'!F:F,"HC",'Données brutes'!E:E,"JULIE",'Données brutes'!G:G,"But vide")</f>
        <v>0</v>
      </c>
      <c r="F67" s="90">
        <f>COUNTIFS('Données brutes'!F:F,"tir raté NC",'Données brutes'!E:E,"JULIE",'Données brutes'!G:G,"But vide")</f>
        <v>0</v>
      </c>
      <c r="G67" s="121"/>
      <c r="H67" s="493" t="s">
        <v>310</v>
      </c>
      <c r="I67" s="32" t="s">
        <v>22</v>
      </c>
      <c r="J67" s="91">
        <f t="shared" si="18"/>
        <v>0</v>
      </c>
      <c r="K67" s="90">
        <f t="shared" si="19"/>
        <v>0</v>
      </c>
      <c r="L67" s="92" t="e">
        <f t="shared" si="20"/>
        <v>#DIV/0!</v>
      </c>
      <c r="M67" s="495" t="s">
        <v>310</v>
      </c>
      <c r="N67" s="319">
        <f>J67+J68</f>
        <v>2</v>
      </c>
      <c r="O67" s="319">
        <f>K67+K68</f>
        <v>3</v>
      </c>
      <c r="P67" s="322">
        <f>N67/O67</f>
        <v>0.66666666666666663</v>
      </c>
      <c r="Q67" s="62"/>
      <c r="R67" s="62"/>
      <c r="S67" s="493" t="s">
        <v>310</v>
      </c>
      <c r="T67" s="32" t="s">
        <v>22</v>
      </c>
      <c r="U67" s="91">
        <f t="shared" si="21"/>
        <v>0</v>
      </c>
      <c r="V67" s="90">
        <f t="shared" si="22"/>
        <v>0</v>
      </c>
      <c r="W67" s="92" t="e">
        <f t="shared" si="23"/>
        <v>#DIV/0!</v>
      </c>
    </row>
    <row r="68" spans="1:23" ht="15" thickBot="1" x14ac:dyDescent="0.4">
      <c r="A68" s="494"/>
      <c r="B68" s="36" t="s">
        <v>12</v>
      </c>
      <c r="C68" s="152">
        <f>COUNTIFS('Données brutes'!F:F,"But",'Données brutes'!E:E,"JULIE",'Données brutes'!G:G,"CA MB")</f>
        <v>2</v>
      </c>
      <c r="D68" s="90">
        <f>COUNTIFS('Données brutes'!F:F,"Ar GB",'Données brutes'!E:E,"JULIE",'Données brutes'!G:G,"CA MB")</f>
        <v>1</v>
      </c>
      <c r="E68" s="90">
        <f>COUNTIFS('Données brutes'!F:F,"HC",'Données brutes'!E:E,"JULIE",'Données brutes'!G:G,"CA MB")</f>
        <v>0</v>
      </c>
      <c r="F68" s="90">
        <f>COUNTIFS('Données brutes'!F:F,"tir raté NC",'Données brutes'!E:E,"JULIE",'Données brutes'!G:G,"CA MB")</f>
        <v>0</v>
      </c>
      <c r="G68" s="122"/>
      <c r="H68" s="494"/>
      <c r="I68" s="73" t="s">
        <v>12</v>
      </c>
      <c r="J68" s="91">
        <f t="shared" si="18"/>
        <v>2</v>
      </c>
      <c r="K68" s="90">
        <f t="shared" si="19"/>
        <v>3</v>
      </c>
      <c r="L68" s="92">
        <f t="shared" si="20"/>
        <v>0.66666666666666663</v>
      </c>
      <c r="M68" s="495"/>
      <c r="N68" s="325"/>
      <c r="O68" s="325"/>
      <c r="P68" s="326"/>
      <c r="Q68" s="62"/>
      <c r="R68" s="62"/>
      <c r="S68" s="494"/>
      <c r="T68" s="73" t="s">
        <v>12</v>
      </c>
      <c r="U68" s="91">
        <f t="shared" si="21"/>
        <v>0.5</v>
      </c>
      <c r="V68" s="90">
        <f t="shared" si="22"/>
        <v>0.75</v>
      </c>
      <c r="W68" s="92">
        <f t="shared" si="23"/>
        <v>0.66666666666666663</v>
      </c>
    </row>
    <row r="69" spans="1:23" ht="15" thickBot="1" x14ac:dyDescent="0.4">
      <c r="A69" s="488" t="s">
        <v>311</v>
      </c>
      <c r="B69" s="507"/>
      <c r="C69" s="156">
        <f>SUM(C51:C68)</f>
        <v>10</v>
      </c>
      <c r="D69" s="157">
        <f t="shared" ref="D69:E69" si="24">SUM(D51:D68)</f>
        <v>5</v>
      </c>
      <c r="E69" s="157">
        <f t="shared" si="24"/>
        <v>2</v>
      </c>
      <c r="F69" s="157">
        <f>SUM(F51:F64)</f>
        <v>0</v>
      </c>
      <c r="G69" s="123"/>
      <c r="H69" s="488" t="s">
        <v>311</v>
      </c>
      <c r="I69" s="489"/>
      <c r="J69" s="91">
        <f t="shared" si="18"/>
        <v>10</v>
      </c>
      <c r="K69" s="90">
        <f t="shared" si="19"/>
        <v>17</v>
      </c>
      <c r="L69" s="92">
        <f t="shared" si="20"/>
        <v>0.58823529411764708</v>
      </c>
      <c r="M69" s="324"/>
      <c r="N69" s="325"/>
      <c r="O69" s="325"/>
      <c r="P69" s="326"/>
      <c r="Q69" s="62"/>
      <c r="R69" s="62"/>
      <c r="S69" s="488" t="s">
        <v>311</v>
      </c>
      <c r="T69" s="489"/>
      <c r="U69" s="91">
        <f t="shared" si="21"/>
        <v>2.5</v>
      </c>
      <c r="V69" s="90">
        <f t="shared" si="22"/>
        <v>4.25</v>
      </c>
      <c r="W69" s="92">
        <f t="shared" si="23"/>
        <v>0.58823529411764708</v>
      </c>
    </row>
    <row r="70" spans="1:23" ht="15" thickBot="1" x14ac:dyDescent="0.4">
      <c r="A70" s="94"/>
      <c r="B70" s="87" t="s">
        <v>59</v>
      </c>
      <c r="C70" s="152">
        <f>COUNTIFS('Données brutes'!F:F,"But",'Données brutes'!E:E,"JULIE",'Données brutes'!G:G,"Jet 7m")</f>
        <v>0</v>
      </c>
      <c r="D70" s="90">
        <f>COUNTIFS('Données brutes'!F:F,"Ar GB",'Données brutes'!E:E,"JULIE",'Données brutes'!G:G,"Jet 7m")</f>
        <v>0</v>
      </c>
      <c r="E70" s="90">
        <f>COUNTIFS('Données brutes'!F:F,"HC",'Données brutes'!E:E,"JULIE",'Données brutes'!G:G,"Jet 7m")</f>
        <v>0</v>
      </c>
      <c r="F70" s="90">
        <f>COUNTIFS('Données brutes'!F:F,"tir raté NC",'Données brutes'!E:E,"JULIE",'Données brutes'!G:G,"Jet 7m")</f>
        <v>0</v>
      </c>
      <c r="G70" s="508"/>
      <c r="H70" s="94"/>
      <c r="I70" s="32" t="s">
        <v>59</v>
      </c>
      <c r="J70" s="91">
        <f t="shared" si="18"/>
        <v>0</v>
      </c>
      <c r="K70" s="90">
        <f t="shared" si="19"/>
        <v>0</v>
      </c>
      <c r="L70" s="92" t="e">
        <f t="shared" si="20"/>
        <v>#DIV/0!</v>
      </c>
      <c r="M70" s="324"/>
      <c r="N70" s="325"/>
      <c r="O70" s="325"/>
      <c r="P70" s="326"/>
      <c r="Q70" s="62"/>
      <c r="R70" s="62"/>
      <c r="S70" s="94"/>
      <c r="T70" s="32" t="s">
        <v>59</v>
      </c>
      <c r="U70" s="91">
        <f t="shared" si="21"/>
        <v>0</v>
      </c>
      <c r="V70" s="90">
        <f t="shared" si="22"/>
        <v>0</v>
      </c>
      <c r="W70" s="92" t="e">
        <f t="shared" si="23"/>
        <v>#DIV/0!</v>
      </c>
    </row>
    <row r="71" spans="1:23" ht="15" thickBot="1" x14ac:dyDescent="0.4">
      <c r="A71" s="490" t="s">
        <v>312</v>
      </c>
      <c r="B71" s="510"/>
      <c r="C71" s="156">
        <f>C69+C70</f>
        <v>10</v>
      </c>
      <c r="D71" s="156">
        <f t="shared" ref="D71" si="25">D69+D70</f>
        <v>5</v>
      </c>
      <c r="E71" s="156">
        <f t="shared" ref="E71" si="26">E69+E70</f>
        <v>2</v>
      </c>
      <c r="F71" s="156">
        <f t="shared" ref="F71" si="27">F69+F70</f>
        <v>0</v>
      </c>
      <c r="G71" s="509"/>
      <c r="H71" s="490" t="s">
        <v>312</v>
      </c>
      <c r="I71" s="511"/>
      <c r="J71" s="91">
        <f t="shared" si="18"/>
        <v>10</v>
      </c>
      <c r="K71" s="90">
        <f t="shared" si="19"/>
        <v>17</v>
      </c>
      <c r="L71" s="92">
        <f t="shared" si="20"/>
        <v>0.58823529411764708</v>
      </c>
      <c r="M71" s="327"/>
      <c r="N71" s="328"/>
      <c r="O71" s="328"/>
      <c r="P71" s="329"/>
      <c r="Q71" s="122"/>
      <c r="R71" s="122"/>
      <c r="S71" s="490" t="s">
        <v>312</v>
      </c>
      <c r="T71" s="511"/>
      <c r="U71" s="91">
        <f t="shared" si="21"/>
        <v>2.5</v>
      </c>
      <c r="V71" s="90">
        <f t="shared" si="22"/>
        <v>4.25</v>
      </c>
      <c r="W71" s="92">
        <f t="shared" si="23"/>
        <v>0.58823529411764708</v>
      </c>
    </row>
    <row r="73" spans="1:23" ht="15" thickBot="1" x14ac:dyDescent="0.4"/>
    <row r="74" spans="1:23" ht="26.5" thickBot="1" x14ac:dyDescent="0.4">
      <c r="A74" s="514" t="s">
        <v>366</v>
      </c>
      <c r="B74" s="515"/>
      <c r="C74" s="515"/>
      <c r="D74" s="515"/>
      <c r="E74" s="515"/>
      <c r="F74" s="515"/>
      <c r="G74" s="121"/>
      <c r="H74" s="425" t="s">
        <v>333</v>
      </c>
      <c r="I74" s="425"/>
      <c r="J74" s="425"/>
      <c r="K74" s="425"/>
      <c r="L74" s="425"/>
      <c r="M74" s="309"/>
      <c r="N74" s="309"/>
      <c r="O74" s="309"/>
      <c r="P74" s="309"/>
      <c r="Q74" s="121"/>
      <c r="R74" s="124" t="s">
        <v>335</v>
      </c>
      <c r="S74" s="425" t="s">
        <v>334</v>
      </c>
      <c r="T74" s="425"/>
      <c r="U74" s="425"/>
      <c r="V74" s="425"/>
      <c r="W74" s="426"/>
    </row>
    <row r="75" spans="1:23" ht="29.5" thickBot="1" x14ac:dyDescent="0.4">
      <c r="A75" s="403" t="s">
        <v>5</v>
      </c>
      <c r="B75" s="512"/>
      <c r="C75" s="118" t="s">
        <v>33</v>
      </c>
      <c r="D75" s="118" t="s">
        <v>20</v>
      </c>
      <c r="E75" s="118" t="s">
        <v>10</v>
      </c>
      <c r="F75" s="118" t="s">
        <v>277</v>
      </c>
      <c r="G75" s="62"/>
      <c r="H75" s="513" t="s">
        <v>5</v>
      </c>
      <c r="I75" s="421"/>
      <c r="J75" s="93" t="s">
        <v>33</v>
      </c>
      <c r="K75" s="119" t="s">
        <v>326</v>
      </c>
      <c r="L75" s="120" t="s">
        <v>150</v>
      </c>
      <c r="M75" s="310"/>
      <c r="N75" s="320" t="s">
        <v>33</v>
      </c>
      <c r="O75" s="320" t="s">
        <v>326</v>
      </c>
      <c r="P75" s="321" t="s">
        <v>150</v>
      </c>
      <c r="Q75" s="62"/>
      <c r="R75" s="125">
        <f>'Matchs joués'!B14</f>
        <v>4</v>
      </c>
      <c r="S75" s="513" t="s">
        <v>5</v>
      </c>
      <c r="T75" s="421"/>
      <c r="U75" s="93" t="s">
        <v>33</v>
      </c>
      <c r="V75" s="119" t="s">
        <v>326</v>
      </c>
      <c r="W75" s="120" t="s">
        <v>150</v>
      </c>
    </row>
    <row r="76" spans="1:23" ht="15" thickBot="1" x14ac:dyDescent="0.4">
      <c r="A76" s="407" t="s">
        <v>295</v>
      </c>
      <c r="B76" s="87" t="s">
        <v>15</v>
      </c>
      <c r="C76" s="152">
        <f>COUNTIFS('Données brutes'!F:F,"But",'Données brutes'!E:E,"CAMILLE T",'Données brutes'!G:G,"ALG")</f>
        <v>0</v>
      </c>
      <c r="D76" s="90">
        <f>COUNTIFS('Données brutes'!F:F,"Ar GB",'Données brutes'!E:E,"CAMILLE T",'Données brutes'!G:G,"ALG")</f>
        <v>0</v>
      </c>
      <c r="E76" s="90">
        <f>COUNTIFS('Données brutes'!F:F,"HC",'Données brutes'!E:E,"CAMILLE T",'Données brutes'!G:G,"ALG")</f>
        <v>0</v>
      </c>
      <c r="F76" s="90">
        <f>COUNTIFS('Données brutes'!F:F,"tir raté NC",'Données brutes'!E:E,"CAMILLE T",'Données brutes'!G:G,"ALG")</f>
        <v>0</v>
      </c>
      <c r="G76" s="121"/>
      <c r="H76" s="407" t="s">
        <v>295</v>
      </c>
      <c r="I76" s="32" t="s">
        <v>15</v>
      </c>
      <c r="J76" s="91">
        <f>$C76</f>
        <v>0</v>
      </c>
      <c r="K76" s="90">
        <f>$C76+$D76+$E76</f>
        <v>0</v>
      </c>
      <c r="L76" s="92" t="e">
        <f>J76/K76</f>
        <v>#DIV/0!</v>
      </c>
      <c r="M76" s="404" t="s">
        <v>295</v>
      </c>
      <c r="N76" s="496" t="s">
        <v>394</v>
      </c>
      <c r="O76" s="496"/>
      <c r="P76" s="497"/>
      <c r="Q76" s="62"/>
      <c r="R76" s="62"/>
      <c r="S76" s="407" t="s">
        <v>295</v>
      </c>
      <c r="T76" s="32" t="s">
        <v>15</v>
      </c>
      <c r="U76" s="91">
        <f>$J76/$R$2</f>
        <v>0</v>
      </c>
      <c r="V76" s="90">
        <f>$K76/$R$2</f>
        <v>0</v>
      </c>
      <c r="W76" s="92" t="e">
        <f>U76/V76</f>
        <v>#DIV/0!</v>
      </c>
    </row>
    <row r="77" spans="1:23" ht="15" thickBot="1" x14ac:dyDescent="0.4">
      <c r="A77" s="404"/>
      <c r="B77" s="13" t="s">
        <v>282</v>
      </c>
      <c r="C77" s="153">
        <f>COUNTIFS('Données brutes'!F:F,"But",'Données brutes'!E:E,"CAMILLE T",'Données brutes'!G:G,"1 2")</f>
        <v>0</v>
      </c>
      <c r="D77" s="61">
        <f>COUNTIFS('Données brutes'!F:F,"Ar GB",'Données brutes'!E:E,"CAMILLE T",'Données brutes'!G:G,"1 2")</f>
        <v>0</v>
      </c>
      <c r="E77" s="61">
        <f>COUNTIFS('Données brutes'!F:F,"HC",'Données brutes'!E:E,"CAMILLE T",'Données brutes'!G:G,"1 2")</f>
        <v>0</v>
      </c>
      <c r="F77" s="90">
        <f>COUNTIFS('Données brutes'!F:F,"tir raté NC",'Données brutes'!E:E,"CAMILLE T",'Données brutes'!G:G,"1 2")</f>
        <v>0</v>
      </c>
      <c r="G77" s="62"/>
      <c r="H77" s="404"/>
      <c r="I77" s="33" t="s">
        <v>282</v>
      </c>
      <c r="J77" s="91">
        <f t="shared" ref="J77:J96" si="28">$C77</f>
        <v>0</v>
      </c>
      <c r="K77" s="90">
        <f t="shared" ref="K77:K96" si="29">$C77+$D77+$E77</f>
        <v>0</v>
      </c>
      <c r="L77" s="92" t="e">
        <f t="shared" ref="L77:L96" si="30">J77/K77</f>
        <v>#DIV/0!</v>
      </c>
      <c r="M77" s="404"/>
      <c r="N77" s="319">
        <f>J76+J82</f>
        <v>6</v>
      </c>
      <c r="O77" s="319">
        <f>K76+K82</f>
        <v>11</v>
      </c>
      <c r="P77" s="322">
        <f>N77/O77</f>
        <v>0.54545454545454541</v>
      </c>
      <c r="Q77" s="62"/>
      <c r="R77" s="62"/>
      <c r="S77" s="404"/>
      <c r="T77" s="33" t="s">
        <v>282</v>
      </c>
      <c r="U77" s="91">
        <f t="shared" ref="U77:U96" si="31">$J77/$R$2</f>
        <v>0</v>
      </c>
      <c r="V77" s="90">
        <f t="shared" ref="V77:V96" si="32">$K77/$R$2</f>
        <v>0</v>
      </c>
      <c r="W77" s="92" t="e">
        <f t="shared" ref="W77:W96" si="33">U77/V77</f>
        <v>#DIV/0!</v>
      </c>
    </row>
    <row r="78" spans="1:23" ht="15" thickBot="1" x14ac:dyDescent="0.4">
      <c r="A78" s="404"/>
      <c r="B78" s="13" t="s">
        <v>297</v>
      </c>
      <c r="C78" s="153">
        <f>COUNTIFS('Données brutes'!F:F,"But",'Données brutes'!E:E,"CAMILLE T",'Données brutes'!G:G,"2 3")</f>
        <v>0</v>
      </c>
      <c r="D78" s="61">
        <f>COUNTIFS('Données brutes'!F:F,"Ar GB",'Données brutes'!E:E,"CAMILLE T",'Données brutes'!G:G,"2 3")</f>
        <v>0</v>
      </c>
      <c r="E78" s="61">
        <f>COUNTIFS('Données brutes'!F:F,"HC",'Données brutes'!E:E,"CAMILLE T",'Données brutes'!G:G,"2 3")</f>
        <v>0</v>
      </c>
      <c r="F78" s="90">
        <f>COUNTIFS('Données brutes'!F:F,"tir raté NC",'Données brutes'!E:E,"CAMILLE T",'Données brutes'!G:G,"2 3")</f>
        <v>0</v>
      </c>
      <c r="G78" s="62"/>
      <c r="H78" s="404"/>
      <c r="I78" s="33" t="s">
        <v>297</v>
      </c>
      <c r="J78" s="91">
        <f t="shared" si="28"/>
        <v>0</v>
      </c>
      <c r="K78" s="90">
        <f t="shared" si="29"/>
        <v>0</v>
      </c>
      <c r="L78" s="92" t="e">
        <f t="shared" si="30"/>
        <v>#DIV/0!</v>
      </c>
      <c r="M78" s="404"/>
      <c r="N78" s="498" t="s">
        <v>395</v>
      </c>
      <c r="O78" s="498"/>
      <c r="P78" s="499"/>
      <c r="Q78" s="62"/>
      <c r="R78" s="62"/>
      <c r="S78" s="404"/>
      <c r="T78" s="33" t="s">
        <v>297</v>
      </c>
      <c r="U78" s="91">
        <f t="shared" si="31"/>
        <v>0</v>
      </c>
      <c r="V78" s="90">
        <f t="shared" si="32"/>
        <v>0</v>
      </c>
      <c r="W78" s="92" t="e">
        <f t="shared" si="33"/>
        <v>#DIV/0!</v>
      </c>
    </row>
    <row r="79" spans="1:23" ht="15" thickBot="1" x14ac:dyDescent="0.4">
      <c r="A79" s="404"/>
      <c r="B79" s="13" t="s">
        <v>296</v>
      </c>
      <c r="C79" s="153">
        <f>COUNTIFS('Données brutes'!F:F,"But",'Données brutes'!E:E,"CAMILLE T",'Données brutes'!G:G,"3 4")</f>
        <v>0</v>
      </c>
      <c r="D79" s="61">
        <f>COUNTIFS('Données brutes'!F:F,"Ar GB",'Données brutes'!E:E,"CAMILLE T",'Données brutes'!G:G,"3 4")</f>
        <v>0</v>
      </c>
      <c r="E79" s="61">
        <f>COUNTIFS('Données brutes'!F:F,"HC",'Données brutes'!E:E,"CAMILLE T",'Données brutes'!G:G,"3 4")</f>
        <v>0</v>
      </c>
      <c r="F79" s="90">
        <f>COUNTIFS('Données brutes'!F:F,"tir raté NC",'Données brutes'!E:E,"CAMILLE T",'Données brutes'!G:G,"3 4")</f>
        <v>0</v>
      </c>
      <c r="G79" s="62"/>
      <c r="H79" s="404"/>
      <c r="I79" s="33" t="s">
        <v>296</v>
      </c>
      <c r="J79" s="91">
        <f t="shared" si="28"/>
        <v>0</v>
      </c>
      <c r="K79" s="90">
        <f t="shared" si="29"/>
        <v>0</v>
      </c>
      <c r="L79" s="92" t="e">
        <f t="shared" si="30"/>
        <v>#DIV/0!</v>
      </c>
      <c r="M79" s="404"/>
      <c r="N79" s="319">
        <f>J77+J81</f>
        <v>0</v>
      </c>
      <c r="O79" s="319">
        <f>K77+K81</f>
        <v>0</v>
      </c>
      <c r="P79" s="323" t="e">
        <f>N79/O79</f>
        <v>#DIV/0!</v>
      </c>
      <c r="Q79" s="62"/>
      <c r="R79" s="62"/>
      <c r="S79" s="404"/>
      <c r="T79" s="33" t="s">
        <v>296</v>
      </c>
      <c r="U79" s="91">
        <f t="shared" si="31"/>
        <v>0</v>
      </c>
      <c r="V79" s="90">
        <f t="shared" si="32"/>
        <v>0</v>
      </c>
      <c r="W79" s="92" t="e">
        <f t="shared" si="33"/>
        <v>#DIV/0!</v>
      </c>
    </row>
    <row r="80" spans="1:23" ht="15" thickBot="1" x14ac:dyDescent="0.4">
      <c r="A80" s="404"/>
      <c r="B80" s="13" t="s">
        <v>298</v>
      </c>
      <c r="C80" s="153">
        <f>COUNTIFS('Données brutes'!F:F,"But",'Données brutes'!E:E,"CAMILLE T",'Données brutes'!G:G,"4 5")</f>
        <v>0</v>
      </c>
      <c r="D80" s="61">
        <f>COUNTIFS('Données brutes'!F:F,"Ar GB",'Données brutes'!E:E,"CAMILLE T",'Données brutes'!G:G,"4 5")</f>
        <v>0</v>
      </c>
      <c r="E80" s="61">
        <f>COUNTIFS('Données brutes'!F:F,"HC",'Données brutes'!E:E,"CAMILLE T",'Données brutes'!G:G,"4 5")</f>
        <v>0</v>
      </c>
      <c r="F80" s="90">
        <f>COUNTIFS('Données brutes'!F:F,"tir raté NC",'Données brutes'!E:E,"CAMILLE T",'Données brutes'!G:G,"4 5")</f>
        <v>0</v>
      </c>
      <c r="G80" s="62"/>
      <c r="H80" s="404"/>
      <c r="I80" s="33" t="s">
        <v>298</v>
      </c>
      <c r="J80" s="91">
        <f t="shared" si="28"/>
        <v>0</v>
      </c>
      <c r="K80" s="90">
        <f t="shared" si="29"/>
        <v>0</v>
      </c>
      <c r="L80" s="92" t="e">
        <f t="shared" si="30"/>
        <v>#DIV/0!</v>
      </c>
      <c r="M80" s="404"/>
      <c r="N80" s="498" t="s">
        <v>396</v>
      </c>
      <c r="O80" s="498"/>
      <c r="P80" s="499"/>
      <c r="Q80" s="62"/>
      <c r="R80" s="62"/>
      <c r="S80" s="404"/>
      <c r="T80" s="33" t="s">
        <v>298</v>
      </c>
      <c r="U80" s="91">
        <f t="shared" si="31"/>
        <v>0</v>
      </c>
      <c r="V80" s="90">
        <f t="shared" si="32"/>
        <v>0</v>
      </c>
      <c r="W80" s="92" t="e">
        <f t="shared" si="33"/>
        <v>#DIV/0!</v>
      </c>
    </row>
    <row r="81" spans="1:23" ht="15" thickBot="1" x14ac:dyDescent="0.4">
      <c r="A81" s="404"/>
      <c r="B81" s="13" t="s">
        <v>283</v>
      </c>
      <c r="C81" s="153">
        <f>COUNTIFS('Données brutes'!F:F,"But",'Données brutes'!E:E,"CAMILLE T",'Données brutes'!G:G,"5 6")</f>
        <v>0</v>
      </c>
      <c r="D81" s="61">
        <f>COUNTIFS('Données brutes'!F:F,"Ar GB",'Données brutes'!E:E,"CAMILLE T",'Données brutes'!G:G,"5 6")</f>
        <v>0</v>
      </c>
      <c r="E81" s="61">
        <f>COUNTIFS('Données brutes'!F:F,"HC",'Données brutes'!E:E,"CAMILLE T",'Données brutes'!G:G,"5 6")</f>
        <v>0</v>
      </c>
      <c r="F81" s="90">
        <f>COUNTIFS('Données brutes'!F:F,"tir raté NC",'Données brutes'!E:E,"CAMILLE T",'Données brutes'!G:G,"5 6")</f>
        <v>0</v>
      </c>
      <c r="G81" s="62"/>
      <c r="H81" s="404"/>
      <c r="I81" s="33" t="s">
        <v>283</v>
      </c>
      <c r="J81" s="91">
        <f t="shared" si="28"/>
        <v>0</v>
      </c>
      <c r="K81" s="90">
        <f t="shared" si="29"/>
        <v>0</v>
      </c>
      <c r="L81" s="92" t="e">
        <f t="shared" si="30"/>
        <v>#DIV/0!</v>
      </c>
      <c r="M81" s="404"/>
      <c r="N81" s="319">
        <f>J78+J79+J80</f>
        <v>0</v>
      </c>
      <c r="O81" s="319">
        <f>K78+K79+K80</f>
        <v>0</v>
      </c>
      <c r="P81" s="322" t="e">
        <f>N81/O81</f>
        <v>#DIV/0!</v>
      </c>
      <c r="Q81" s="62"/>
      <c r="R81" s="62"/>
      <c r="S81" s="404"/>
      <c r="T81" s="33" t="s">
        <v>283</v>
      </c>
      <c r="U81" s="91">
        <f t="shared" si="31"/>
        <v>0</v>
      </c>
      <c r="V81" s="90">
        <f t="shared" si="32"/>
        <v>0</v>
      </c>
      <c r="W81" s="92" t="e">
        <f t="shared" si="33"/>
        <v>#DIV/0!</v>
      </c>
    </row>
    <row r="82" spans="1:23" ht="15" thickBot="1" x14ac:dyDescent="0.4">
      <c r="A82" s="490"/>
      <c r="B82" s="36" t="s">
        <v>17</v>
      </c>
      <c r="C82" s="154">
        <f>COUNTIFS('Données brutes'!F:F,"But",'Données brutes'!E:E,"CAMILLE T",'Données brutes'!G:G,"ALD")</f>
        <v>6</v>
      </c>
      <c r="D82" s="155">
        <f>COUNTIFS('Données brutes'!F:F,"Ar GB",'Données brutes'!E:E,"CAMILLE T",'Données brutes'!G:G,"ALD")</f>
        <v>3</v>
      </c>
      <c r="E82" s="155">
        <f>COUNTIFS('Données brutes'!F:F,"HC",'Données brutes'!E:E,"CAMILLE T",'Données brutes'!G:G,"ALD")</f>
        <v>2</v>
      </c>
      <c r="F82" s="90">
        <f>COUNTIFS('Données brutes'!F:F,"tir raté NC",'Données brutes'!E:E,"CAMILLE T",'Données brutes'!G:G,"ALD")</f>
        <v>0</v>
      </c>
      <c r="G82" s="122"/>
      <c r="H82" s="490"/>
      <c r="I82" s="73" t="s">
        <v>17</v>
      </c>
      <c r="J82" s="91">
        <f t="shared" si="28"/>
        <v>6</v>
      </c>
      <c r="K82" s="90">
        <f t="shared" si="29"/>
        <v>11</v>
      </c>
      <c r="L82" s="92">
        <f t="shared" si="30"/>
        <v>0.54545454545454541</v>
      </c>
      <c r="M82" s="404"/>
      <c r="N82" s="325"/>
      <c r="O82" s="325"/>
      <c r="P82" s="326"/>
      <c r="Q82" s="62"/>
      <c r="R82" s="62"/>
      <c r="S82" s="490"/>
      <c r="T82" s="73" t="s">
        <v>17</v>
      </c>
      <c r="U82" s="91">
        <f t="shared" si="31"/>
        <v>1.5</v>
      </c>
      <c r="V82" s="90">
        <f t="shared" si="32"/>
        <v>2.75</v>
      </c>
      <c r="W82" s="92">
        <f t="shared" si="33"/>
        <v>0.54545454545454541</v>
      </c>
    </row>
    <row r="83" spans="1:23" ht="15" customHeight="1" thickBot="1" x14ac:dyDescent="0.4">
      <c r="A83" s="491" t="s">
        <v>299</v>
      </c>
      <c r="B83" s="87" t="s">
        <v>301</v>
      </c>
      <c r="C83" s="152">
        <f>COUNTIFS('Données brutes'!F:F,"But",'Données brutes'!E:E,"CAMILLE T",'Données brutes'!G:G,"Central 7m 9m appui")</f>
        <v>0</v>
      </c>
      <c r="D83" s="90">
        <f>COUNTIFS('Données brutes'!F:F,"Ar GB",'Données brutes'!E:E,"CAMILLE T",'Données brutes'!G:G,"Central 7m 9m appui")</f>
        <v>0</v>
      </c>
      <c r="E83" s="90">
        <f>COUNTIFS('Données brutes'!F:F,"HC",'Données brutes'!E:E,"CAMILLE T",'Données brutes'!G:G,"Central 7m 9m appui")</f>
        <v>0</v>
      </c>
      <c r="F83" s="90">
        <f>COUNTIFS('Données brutes'!F:F,"tir raté NC",'Données brutes'!E:E,"CAMILLE T",'Données brutes'!G:G,"ALD")</f>
        <v>0</v>
      </c>
      <c r="G83" s="121"/>
      <c r="H83" s="491" t="s">
        <v>299</v>
      </c>
      <c r="I83" s="32" t="s">
        <v>301</v>
      </c>
      <c r="J83" s="91">
        <f t="shared" si="28"/>
        <v>0</v>
      </c>
      <c r="K83" s="90">
        <f t="shared" si="29"/>
        <v>0</v>
      </c>
      <c r="L83" s="92" t="e">
        <f t="shared" si="30"/>
        <v>#DIV/0!</v>
      </c>
      <c r="M83" s="495" t="s">
        <v>299</v>
      </c>
      <c r="N83" s="319">
        <f>SUM(J83:J85)</f>
        <v>0</v>
      </c>
      <c r="O83" s="319">
        <f>SUM(K83:K85)</f>
        <v>0</v>
      </c>
      <c r="P83" s="322" t="e">
        <f>N83/O83</f>
        <v>#DIV/0!</v>
      </c>
      <c r="Q83" s="62"/>
      <c r="R83" s="62"/>
      <c r="S83" s="491" t="s">
        <v>299</v>
      </c>
      <c r="T83" s="32" t="s">
        <v>301</v>
      </c>
      <c r="U83" s="91">
        <f t="shared" si="31"/>
        <v>0</v>
      </c>
      <c r="V83" s="90">
        <f t="shared" si="32"/>
        <v>0</v>
      </c>
      <c r="W83" s="92" t="e">
        <f t="shared" si="33"/>
        <v>#DIV/0!</v>
      </c>
    </row>
    <row r="84" spans="1:23" ht="15" thickBot="1" x14ac:dyDescent="0.4">
      <c r="A84" s="495"/>
      <c r="B84" s="13" t="s">
        <v>302</v>
      </c>
      <c r="C84" s="153">
        <f>COUNTIFS('Données brutes'!F:F,"But",'Données brutes'!E:E,"CAMILLE T",'Données brutes'!G:G,"7m 9m Ext G appui")</f>
        <v>0</v>
      </c>
      <c r="D84" s="61">
        <f>COUNTIFS('Données brutes'!F:F,"Ar GB",'Données brutes'!E:E,"CAMILLE T",'Données brutes'!G:G,"7m 9m Ext G appui")</f>
        <v>0</v>
      </c>
      <c r="E84" s="61">
        <f>COUNTIFS('Données brutes'!F:F,"HC",'Données brutes'!E:E,"CAMILLE T",'Données brutes'!G:G,"7m 9m Ext G appui")</f>
        <v>0</v>
      </c>
      <c r="F84" s="90">
        <f>COUNTIFS('Données brutes'!F:F,"tir raté NC",'Données brutes'!E:E,"CAMILLE T",'Données brutes'!G:G,"7m 9m Ext G appui")</f>
        <v>0</v>
      </c>
      <c r="G84" s="62"/>
      <c r="H84" s="495"/>
      <c r="I84" s="33" t="s">
        <v>302</v>
      </c>
      <c r="J84" s="91">
        <f t="shared" si="28"/>
        <v>0</v>
      </c>
      <c r="K84" s="90">
        <f t="shared" si="29"/>
        <v>0</v>
      </c>
      <c r="L84" s="92" t="e">
        <f t="shared" si="30"/>
        <v>#DIV/0!</v>
      </c>
      <c r="M84" s="495"/>
      <c r="N84" s="325"/>
      <c r="O84" s="325"/>
      <c r="P84" s="326"/>
      <c r="Q84" s="62"/>
      <c r="R84" s="62"/>
      <c r="S84" s="495"/>
      <c r="T84" s="33" t="s">
        <v>302</v>
      </c>
      <c r="U84" s="91">
        <f t="shared" si="31"/>
        <v>0</v>
      </c>
      <c r="V84" s="90">
        <f t="shared" si="32"/>
        <v>0</v>
      </c>
      <c r="W84" s="92" t="e">
        <f t="shared" si="33"/>
        <v>#DIV/0!</v>
      </c>
    </row>
    <row r="85" spans="1:23" ht="15" thickBot="1" x14ac:dyDescent="0.4">
      <c r="A85" s="492"/>
      <c r="B85" s="36" t="s">
        <v>303</v>
      </c>
      <c r="C85" s="154">
        <f>COUNTIFS('Données brutes'!F:F,"But",'Données brutes'!E:E,"CAMILLE T",'Données brutes'!G:G,"7m 9m Ext D appui")</f>
        <v>0</v>
      </c>
      <c r="D85" s="155">
        <f>COUNTIFS('Données brutes'!F:F,"Ar GB",'Données brutes'!E:E,"CAMILLE T",'Données brutes'!G:G,"7m 9m Ext D appui")</f>
        <v>0</v>
      </c>
      <c r="E85" s="155">
        <f>COUNTIFS('Données brutes'!F:F,"HC",'Données brutes'!E:E,"CAMILLE T",'Données brutes'!G:G,"7m 9m Ext D appui")</f>
        <v>0</v>
      </c>
      <c r="F85" s="90">
        <f>COUNTIFS('Données brutes'!F:F,"tir raté NC",'Données brutes'!E:E,"CAMILLE T",'Données brutes'!G:G,"ALD")</f>
        <v>0</v>
      </c>
      <c r="G85" s="122"/>
      <c r="H85" s="492"/>
      <c r="I85" s="73" t="s">
        <v>303</v>
      </c>
      <c r="J85" s="91">
        <f t="shared" si="28"/>
        <v>0</v>
      </c>
      <c r="K85" s="90">
        <f t="shared" si="29"/>
        <v>0</v>
      </c>
      <c r="L85" s="92" t="e">
        <f t="shared" si="30"/>
        <v>#DIV/0!</v>
      </c>
      <c r="M85" s="495"/>
      <c r="N85" s="325"/>
      <c r="O85" s="325"/>
      <c r="P85" s="326"/>
      <c r="Q85" s="62"/>
      <c r="R85" s="62"/>
      <c r="S85" s="492"/>
      <c r="T85" s="73" t="s">
        <v>303</v>
      </c>
      <c r="U85" s="91">
        <f t="shared" si="31"/>
        <v>0</v>
      </c>
      <c r="V85" s="90">
        <f t="shared" si="32"/>
        <v>0</v>
      </c>
      <c r="W85" s="92" t="e">
        <f t="shared" si="33"/>
        <v>#DIV/0!</v>
      </c>
    </row>
    <row r="86" spans="1:23" ht="15" customHeight="1" thickBot="1" x14ac:dyDescent="0.4">
      <c r="A86" s="493" t="s">
        <v>300</v>
      </c>
      <c r="B86" s="87" t="s">
        <v>304</v>
      </c>
      <c r="C86" s="152">
        <f>COUNTIFS('Données brutes'!F:F,"But",'Données brutes'!E:E,"CAMILLE T",'Données brutes'!G:G,"7m 9m central suspension")</f>
        <v>0</v>
      </c>
      <c r="D86" s="90">
        <f>COUNTIFS('Données brutes'!F:F,"Ar GB",'Données brutes'!E:E,"CAMILLE T",'Données brutes'!G:G,"7m 9m central suspension")</f>
        <v>0</v>
      </c>
      <c r="E86" s="90">
        <f>COUNTIFS('Données brutes'!F:F,"HC",'Données brutes'!E:E,"CAMILLE T",'Données brutes'!G:G,"7m 9m central suspension")</f>
        <v>0</v>
      </c>
      <c r="F86" s="90">
        <f>COUNTIFS('Données brutes'!F:F,"tir raté NC",'Données brutes'!E:E,"CAMILLE T",'Données brutes'!G:G,"ALD")</f>
        <v>0</v>
      </c>
      <c r="G86" s="121"/>
      <c r="H86" s="493" t="s">
        <v>300</v>
      </c>
      <c r="I86" s="32" t="s">
        <v>304</v>
      </c>
      <c r="J86" s="91">
        <f t="shared" si="28"/>
        <v>0</v>
      </c>
      <c r="K86" s="90">
        <f t="shared" si="29"/>
        <v>0</v>
      </c>
      <c r="L86" s="92" t="e">
        <f t="shared" si="30"/>
        <v>#DIV/0!</v>
      </c>
      <c r="M86" s="495" t="s">
        <v>300</v>
      </c>
      <c r="N86" s="319">
        <f>SUM(J86:J88)</f>
        <v>0</v>
      </c>
      <c r="O86" s="319">
        <f>SUM(K86:K88)</f>
        <v>0</v>
      </c>
      <c r="P86" s="322" t="e">
        <f>N86/O86</f>
        <v>#DIV/0!</v>
      </c>
      <c r="Q86" s="62"/>
      <c r="R86" s="62"/>
      <c r="S86" s="493" t="s">
        <v>300</v>
      </c>
      <c r="T86" s="32" t="s">
        <v>304</v>
      </c>
      <c r="U86" s="91">
        <f t="shared" si="31"/>
        <v>0</v>
      </c>
      <c r="V86" s="90">
        <f t="shared" si="32"/>
        <v>0</v>
      </c>
      <c r="W86" s="92" t="e">
        <f t="shared" si="33"/>
        <v>#DIV/0!</v>
      </c>
    </row>
    <row r="87" spans="1:23" ht="15" thickBot="1" x14ac:dyDescent="0.4">
      <c r="A87" s="506"/>
      <c r="B87" s="13" t="s">
        <v>305</v>
      </c>
      <c r="C87" s="153">
        <f>COUNTIFS('Données brutes'!F:F,"But",'Données brutes'!E:E,"CAMILLE T",'Données brutes'!G:G,"7m 9m Ext G suspension")</f>
        <v>0</v>
      </c>
      <c r="D87" s="61">
        <f>COUNTIFS('Données brutes'!F:F,"Ar GB",'Données brutes'!E:E,"CAMILLE T",'Données brutes'!G:G,"7m 9m Ext G suspension")</f>
        <v>0</v>
      </c>
      <c r="E87" s="61">
        <f>COUNTIFS('Données brutes'!F:F,"HC",'Données brutes'!E:E,"CAMILLE T",'Données brutes'!G:G,"7m 9m Ext G suspension")</f>
        <v>0</v>
      </c>
      <c r="F87" s="90">
        <f>COUNTIFS('Données brutes'!F:F,"tir raté NC",'Données brutes'!E:E,"CAMILLE T",'Données brutes'!G:G,"ALD")</f>
        <v>0</v>
      </c>
      <c r="G87" s="62"/>
      <c r="H87" s="506"/>
      <c r="I87" s="33" t="s">
        <v>305</v>
      </c>
      <c r="J87" s="91">
        <f t="shared" si="28"/>
        <v>0</v>
      </c>
      <c r="K87" s="90">
        <f t="shared" si="29"/>
        <v>0</v>
      </c>
      <c r="L87" s="92" t="e">
        <f t="shared" si="30"/>
        <v>#DIV/0!</v>
      </c>
      <c r="M87" s="495"/>
      <c r="N87" s="325"/>
      <c r="O87" s="325"/>
      <c r="P87" s="326"/>
      <c r="Q87" s="62"/>
      <c r="R87" s="62"/>
      <c r="S87" s="506"/>
      <c r="T87" s="33" t="s">
        <v>305</v>
      </c>
      <c r="U87" s="91">
        <f t="shared" si="31"/>
        <v>0</v>
      </c>
      <c r="V87" s="90">
        <f t="shared" si="32"/>
        <v>0</v>
      </c>
      <c r="W87" s="92" t="e">
        <f t="shared" si="33"/>
        <v>#DIV/0!</v>
      </c>
    </row>
    <row r="88" spans="1:23" ht="15" thickBot="1" x14ac:dyDescent="0.4">
      <c r="A88" s="494"/>
      <c r="B88" s="36" t="s">
        <v>306</v>
      </c>
      <c r="C88" s="153">
        <f>COUNTIFS('Données brutes'!F:F,"But",'Données brutes'!E:E,"CAMILLE T",'Données brutes'!G:G,"7m 9m Ext D suspension")</f>
        <v>0</v>
      </c>
      <c r="D88" s="61">
        <f>COUNTIFS('Données brutes'!F:F,"Ar GB",'Données brutes'!E:E,"CAMILLE T",'Données brutes'!G:G,"7m 9m Ext D suspension")</f>
        <v>0</v>
      </c>
      <c r="E88" s="61">
        <f>COUNTIFS('Données brutes'!F:F,"HC",'Données brutes'!E:E,"CAMILLE T",'Données brutes'!G:G,"7m 9m Ext D suspension")</f>
        <v>0</v>
      </c>
      <c r="F88" s="90">
        <f>COUNTIFS('Données brutes'!F:F,"tir raté NC",'Données brutes'!E:E,"CAMILLE T",'Données brutes'!G:G,"7m 9m Ext D suspension")</f>
        <v>0</v>
      </c>
      <c r="G88" s="122"/>
      <c r="H88" s="494"/>
      <c r="I88" s="73" t="s">
        <v>306</v>
      </c>
      <c r="J88" s="91">
        <f t="shared" si="28"/>
        <v>0</v>
      </c>
      <c r="K88" s="90">
        <f t="shared" si="29"/>
        <v>0</v>
      </c>
      <c r="L88" s="92" t="e">
        <f t="shared" si="30"/>
        <v>#DIV/0!</v>
      </c>
      <c r="M88" s="495"/>
      <c r="N88" s="325"/>
      <c r="O88" s="325"/>
      <c r="P88" s="326"/>
      <c r="Q88" s="62"/>
      <c r="R88" s="62"/>
      <c r="S88" s="494"/>
      <c r="T88" s="73" t="s">
        <v>306</v>
      </c>
      <c r="U88" s="91">
        <f t="shared" si="31"/>
        <v>0</v>
      </c>
      <c r="V88" s="90">
        <f t="shared" si="32"/>
        <v>0</v>
      </c>
      <c r="W88" s="92" t="e">
        <f t="shared" si="33"/>
        <v>#DIV/0!</v>
      </c>
    </row>
    <row r="89" spans="1:23" ht="15" thickBot="1" x14ac:dyDescent="0.4">
      <c r="A89" s="407" t="s">
        <v>146</v>
      </c>
      <c r="B89" s="87" t="s">
        <v>307</v>
      </c>
      <c r="C89" s="152">
        <f>COUNTIFS('Données brutes'!F:F,"But",'Données brutes'!E:E,"CAMILLE T",'Données brutes'!G:G,"9m G")</f>
        <v>0</v>
      </c>
      <c r="D89" s="90">
        <f>COUNTIFS('Données brutes'!F:F,"Ar GB",'Données brutes'!E:E,"CAMILLE T",'Données brutes'!G:G,"9m G")</f>
        <v>0</v>
      </c>
      <c r="E89" s="90">
        <f>COUNTIFS('Données brutes'!F:F,"HC",'Données brutes'!E:E,"CAMILLE T",'Données brutes'!G:G,"9m G")</f>
        <v>0</v>
      </c>
      <c r="F89" s="90">
        <f>COUNTIFS('Données brutes'!F:F,"tir raté NC",'Données brutes'!E:E,"CAMILLE T",'Données brutes'!G:G,"9m G")</f>
        <v>0</v>
      </c>
      <c r="G89" s="121"/>
      <c r="H89" s="407" t="s">
        <v>146</v>
      </c>
      <c r="I89" s="32" t="s">
        <v>307</v>
      </c>
      <c r="J89" s="91">
        <f t="shared" si="28"/>
        <v>0</v>
      </c>
      <c r="K89" s="90">
        <f t="shared" si="29"/>
        <v>0</v>
      </c>
      <c r="L89" s="92" t="e">
        <f t="shared" si="30"/>
        <v>#DIV/0!</v>
      </c>
      <c r="M89" s="404" t="s">
        <v>146</v>
      </c>
      <c r="N89" s="319">
        <f>SUM(J89:J91)</f>
        <v>0</v>
      </c>
      <c r="O89" s="319">
        <f>SUM(K89:K91)</f>
        <v>0</v>
      </c>
      <c r="P89" s="322" t="e">
        <f>N89/O89</f>
        <v>#DIV/0!</v>
      </c>
      <c r="Q89" s="62"/>
      <c r="R89" s="62"/>
      <c r="S89" s="407" t="s">
        <v>146</v>
      </c>
      <c r="T89" s="32" t="s">
        <v>307</v>
      </c>
      <c r="U89" s="91">
        <f t="shared" si="31"/>
        <v>0</v>
      </c>
      <c r="V89" s="90">
        <f t="shared" si="32"/>
        <v>0</v>
      </c>
      <c r="W89" s="92" t="e">
        <f t="shared" si="33"/>
        <v>#DIV/0!</v>
      </c>
    </row>
    <row r="90" spans="1:23" ht="15" thickBot="1" x14ac:dyDescent="0.4">
      <c r="A90" s="404"/>
      <c r="B90" s="13" t="s">
        <v>308</v>
      </c>
      <c r="C90" s="152">
        <f>COUNTIFS('Données brutes'!F:F,"But",'Données brutes'!E:E,"CAMILLE T",'Données brutes'!G:G,"9m +")</f>
        <v>0</v>
      </c>
      <c r="D90" s="90">
        <f>COUNTIFS('Données brutes'!F:F,"Ar GB",'Données brutes'!E:E,"CAMILLE T",'Données brutes'!G:G,"9m +")</f>
        <v>0</v>
      </c>
      <c r="E90" s="90">
        <f>COUNTIFS('Données brutes'!F:F,"HC",'Données brutes'!E:E,"CAMILLE T",'Données brutes'!G:G,"9m +")</f>
        <v>0</v>
      </c>
      <c r="F90" s="90">
        <f>COUNTIFS('Données brutes'!F:F,"tir raté NC",'Données brutes'!E:E,"CAMILLE T",'Données brutes'!G:G,"9m +")</f>
        <v>0</v>
      </c>
      <c r="G90" s="62"/>
      <c r="H90" s="404"/>
      <c r="I90" s="33" t="s">
        <v>308</v>
      </c>
      <c r="J90" s="91">
        <f t="shared" si="28"/>
        <v>0</v>
      </c>
      <c r="K90" s="90">
        <f t="shared" si="29"/>
        <v>0</v>
      </c>
      <c r="L90" s="92" t="e">
        <f t="shared" si="30"/>
        <v>#DIV/0!</v>
      </c>
      <c r="M90" s="404"/>
      <c r="N90" s="325"/>
      <c r="O90" s="325"/>
      <c r="P90" s="326"/>
      <c r="Q90" s="62"/>
      <c r="R90" s="62"/>
      <c r="S90" s="404"/>
      <c r="T90" s="33" t="s">
        <v>308</v>
      </c>
      <c r="U90" s="91">
        <f t="shared" si="31"/>
        <v>0</v>
      </c>
      <c r="V90" s="90">
        <f t="shared" si="32"/>
        <v>0</v>
      </c>
      <c r="W90" s="92" t="e">
        <f t="shared" si="33"/>
        <v>#DIV/0!</v>
      </c>
    </row>
    <row r="91" spans="1:23" ht="15" thickBot="1" x14ac:dyDescent="0.4">
      <c r="A91" s="490"/>
      <c r="B91" s="36" t="s">
        <v>309</v>
      </c>
      <c r="C91" s="152">
        <f>COUNTIFS('Données brutes'!F:F,"But",'Données brutes'!E:E,"CAMILLE T",'Données brutes'!G:G,"9m D")</f>
        <v>0</v>
      </c>
      <c r="D91" s="90">
        <f>COUNTIFS('Données brutes'!F:F,"Ar GB",'Données brutes'!E:E,"CAMILLE T",'Données brutes'!G:G,"9m D")</f>
        <v>0</v>
      </c>
      <c r="E91" s="90">
        <f>COUNTIFS('Données brutes'!F:F,"HC",'Données brutes'!E:E,"CAMILLE T",'Données brutes'!G:G,"9m D")</f>
        <v>0</v>
      </c>
      <c r="F91" s="90">
        <f>COUNTIFS('Données brutes'!F:F,"tir raté NC",'Données brutes'!E:E,"CAMILLE T",'Données brutes'!G:G,"9m D")</f>
        <v>0</v>
      </c>
      <c r="G91" s="122"/>
      <c r="H91" s="490"/>
      <c r="I91" s="73" t="s">
        <v>309</v>
      </c>
      <c r="J91" s="91">
        <f t="shared" si="28"/>
        <v>0</v>
      </c>
      <c r="K91" s="90">
        <f t="shared" si="29"/>
        <v>0</v>
      </c>
      <c r="L91" s="92" t="e">
        <f t="shared" si="30"/>
        <v>#DIV/0!</v>
      </c>
      <c r="M91" s="404"/>
      <c r="N91" s="325"/>
      <c r="O91" s="325"/>
      <c r="P91" s="326"/>
      <c r="Q91" s="62"/>
      <c r="R91" s="62"/>
      <c r="S91" s="490"/>
      <c r="T91" s="73" t="s">
        <v>309</v>
      </c>
      <c r="U91" s="91">
        <f t="shared" si="31"/>
        <v>0</v>
      </c>
      <c r="V91" s="90">
        <f t="shared" si="32"/>
        <v>0</v>
      </c>
      <c r="W91" s="92" t="e">
        <f t="shared" si="33"/>
        <v>#DIV/0!</v>
      </c>
    </row>
    <row r="92" spans="1:23" ht="15" customHeight="1" thickBot="1" x14ac:dyDescent="0.4">
      <c r="A92" s="493" t="s">
        <v>310</v>
      </c>
      <c r="B92" s="87" t="s">
        <v>22</v>
      </c>
      <c r="C92" s="152">
        <f>COUNTIFS('Données brutes'!F:F,"But",'Données brutes'!E:E,"CAMILLE T",'Données brutes'!G:G,"But vide")</f>
        <v>0</v>
      </c>
      <c r="D92" s="90">
        <f>COUNTIFS('Données brutes'!F:F,"Ar GB",'Données brutes'!E:E,"CAMILLE T",'Données brutes'!G:G,"But vide")</f>
        <v>0</v>
      </c>
      <c r="E92" s="90">
        <f>COUNTIFS('Données brutes'!F:F,"HC",'Données brutes'!E:E,"CAMILLE T",'Données brutes'!G:G,"But vide")</f>
        <v>0</v>
      </c>
      <c r="F92" s="90">
        <f>COUNTIFS('Données brutes'!F:F,"tir raté NC",'Données brutes'!E:E,"CAMILLE T",'Données brutes'!G:G,"But vide")</f>
        <v>0</v>
      </c>
      <c r="G92" s="121"/>
      <c r="H92" s="493" t="s">
        <v>310</v>
      </c>
      <c r="I92" s="32" t="s">
        <v>22</v>
      </c>
      <c r="J92" s="91">
        <f t="shared" si="28"/>
        <v>0</v>
      </c>
      <c r="K92" s="90">
        <f t="shared" si="29"/>
        <v>0</v>
      </c>
      <c r="L92" s="92" t="e">
        <f t="shared" si="30"/>
        <v>#DIV/0!</v>
      </c>
      <c r="M92" s="495" t="s">
        <v>310</v>
      </c>
      <c r="N92" s="319">
        <f>J92+J93</f>
        <v>0</v>
      </c>
      <c r="O92" s="319">
        <f>K92+K93</f>
        <v>1</v>
      </c>
      <c r="P92" s="322">
        <f>N92/O92</f>
        <v>0</v>
      </c>
      <c r="Q92" s="62"/>
      <c r="R92" s="62"/>
      <c r="S92" s="493" t="s">
        <v>310</v>
      </c>
      <c r="T92" s="32" t="s">
        <v>22</v>
      </c>
      <c r="U92" s="91">
        <f t="shared" si="31"/>
        <v>0</v>
      </c>
      <c r="V92" s="90">
        <f t="shared" si="32"/>
        <v>0</v>
      </c>
      <c r="W92" s="92" t="e">
        <f t="shared" si="33"/>
        <v>#DIV/0!</v>
      </c>
    </row>
    <row r="93" spans="1:23" ht="15" thickBot="1" x14ac:dyDescent="0.4">
      <c r="A93" s="494"/>
      <c r="B93" s="36" t="s">
        <v>12</v>
      </c>
      <c r="C93" s="152">
        <f>COUNTIFS('Données brutes'!F:F,"But",'Données brutes'!E:E,"CAMILLE T",'Données brutes'!G:G,"CA MB")</f>
        <v>0</v>
      </c>
      <c r="D93" s="90">
        <f>COUNTIFS('Données brutes'!F:F,"Ar GB",'Données brutes'!E:E,"CAMILLE T",'Données brutes'!G:G,"CA MB")</f>
        <v>1</v>
      </c>
      <c r="E93" s="90">
        <f>COUNTIFS('Données brutes'!F:F,"HC",'Données brutes'!E:E,"CAMILLE T",'Données brutes'!G:G,"CA MB")</f>
        <v>0</v>
      </c>
      <c r="F93" s="90">
        <f>COUNTIFS('Données brutes'!F:F,"tir raté NC",'Données brutes'!E:E,"CAMILLE T",'Données brutes'!G:G,"CA MB")</f>
        <v>1</v>
      </c>
      <c r="G93" s="122"/>
      <c r="H93" s="494"/>
      <c r="I93" s="73" t="s">
        <v>12</v>
      </c>
      <c r="J93" s="91">
        <f t="shared" si="28"/>
        <v>0</v>
      </c>
      <c r="K93" s="90">
        <f t="shared" si="29"/>
        <v>1</v>
      </c>
      <c r="L93" s="92">
        <f t="shared" si="30"/>
        <v>0</v>
      </c>
      <c r="M93" s="495"/>
      <c r="N93" s="325"/>
      <c r="O93" s="325"/>
      <c r="P93" s="326"/>
      <c r="Q93" s="62"/>
      <c r="R93" s="62"/>
      <c r="S93" s="494"/>
      <c r="T93" s="73" t="s">
        <v>12</v>
      </c>
      <c r="U93" s="91">
        <f t="shared" si="31"/>
        <v>0</v>
      </c>
      <c r="V93" s="90">
        <f t="shared" si="32"/>
        <v>0.25</v>
      </c>
      <c r="W93" s="92">
        <f t="shared" si="33"/>
        <v>0</v>
      </c>
    </row>
    <row r="94" spans="1:23" ht="15" thickBot="1" x14ac:dyDescent="0.4">
      <c r="A94" s="488" t="s">
        <v>311</v>
      </c>
      <c r="B94" s="507"/>
      <c r="C94" s="156">
        <f>SUM(C76:C93)</f>
        <v>6</v>
      </c>
      <c r="D94" s="157">
        <f t="shared" ref="D94:E94" si="34">SUM(D76:D93)</f>
        <v>4</v>
      </c>
      <c r="E94" s="157">
        <f t="shared" si="34"/>
        <v>2</v>
      </c>
      <c r="F94" s="157">
        <f>SUM(F76:F89)</f>
        <v>0</v>
      </c>
      <c r="G94" s="123"/>
      <c r="H94" s="488" t="s">
        <v>311</v>
      </c>
      <c r="I94" s="489"/>
      <c r="J94" s="91">
        <f t="shared" si="28"/>
        <v>6</v>
      </c>
      <c r="K94" s="90">
        <f t="shared" si="29"/>
        <v>12</v>
      </c>
      <c r="L94" s="92">
        <f t="shared" si="30"/>
        <v>0.5</v>
      </c>
      <c r="M94" s="324"/>
      <c r="N94" s="325"/>
      <c r="O94" s="325"/>
      <c r="P94" s="326"/>
      <c r="Q94" s="62"/>
      <c r="R94" s="62"/>
      <c r="S94" s="488" t="s">
        <v>311</v>
      </c>
      <c r="T94" s="489"/>
      <c r="U94" s="91">
        <f t="shared" si="31"/>
        <v>1.5</v>
      </c>
      <c r="V94" s="90">
        <f t="shared" si="32"/>
        <v>3</v>
      </c>
      <c r="W94" s="92">
        <f t="shared" si="33"/>
        <v>0.5</v>
      </c>
    </row>
    <row r="95" spans="1:23" ht="15" thickBot="1" x14ac:dyDescent="0.4">
      <c r="A95" s="94"/>
      <c r="B95" s="87" t="s">
        <v>59</v>
      </c>
      <c r="C95" s="152">
        <f>COUNTIFS('Données brutes'!F:F,"But",'Données brutes'!E:E,"CAMILLE T",'Données brutes'!G:G,"Jet 7m")</f>
        <v>0</v>
      </c>
      <c r="D95" s="90">
        <f>COUNTIFS('Données brutes'!F:F,"Ar GB",'Données brutes'!E:E,"CAMILLE T",'Données brutes'!G:G,"Jet 7m")</f>
        <v>0</v>
      </c>
      <c r="E95" s="90">
        <f>COUNTIFS('Données brutes'!F:F,"HC",'Données brutes'!E:E,"CAMILLE T",'Données brutes'!G:G,"Jet 7m")</f>
        <v>0</v>
      </c>
      <c r="F95" s="90">
        <f>COUNTIFS('Données brutes'!F:F,"tir raté NC",'Données brutes'!E:E,"CAMILLE T",'Données brutes'!G:G,"Jet 7m")</f>
        <v>0</v>
      </c>
      <c r="G95" s="508"/>
      <c r="H95" s="94"/>
      <c r="I95" s="32" t="s">
        <v>59</v>
      </c>
      <c r="J95" s="91">
        <f t="shared" si="28"/>
        <v>0</v>
      </c>
      <c r="K95" s="90">
        <f t="shared" si="29"/>
        <v>0</v>
      </c>
      <c r="L95" s="92" t="e">
        <f t="shared" si="30"/>
        <v>#DIV/0!</v>
      </c>
      <c r="M95" s="324"/>
      <c r="N95" s="325"/>
      <c r="O95" s="325"/>
      <c r="P95" s="326"/>
      <c r="Q95" s="62"/>
      <c r="R95" s="62"/>
      <c r="S95" s="94"/>
      <c r="T95" s="32" t="s">
        <v>59</v>
      </c>
      <c r="U95" s="91">
        <f t="shared" si="31"/>
        <v>0</v>
      </c>
      <c r="V95" s="90">
        <f t="shared" si="32"/>
        <v>0</v>
      </c>
      <c r="W95" s="92" t="e">
        <f t="shared" si="33"/>
        <v>#DIV/0!</v>
      </c>
    </row>
    <row r="96" spans="1:23" ht="15" thickBot="1" x14ac:dyDescent="0.4">
      <c r="A96" s="490" t="s">
        <v>312</v>
      </c>
      <c r="B96" s="510"/>
      <c r="C96" s="156">
        <f>C94+C95</f>
        <v>6</v>
      </c>
      <c r="D96" s="156">
        <f t="shared" ref="D96" si="35">D94+D95</f>
        <v>4</v>
      </c>
      <c r="E96" s="156">
        <f t="shared" ref="E96" si="36">E94+E95</f>
        <v>2</v>
      </c>
      <c r="F96" s="156">
        <f t="shared" ref="F96" si="37">F94+F95</f>
        <v>0</v>
      </c>
      <c r="G96" s="509"/>
      <c r="H96" s="490" t="s">
        <v>312</v>
      </c>
      <c r="I96" s="511"/>
      <c r="J96" s="91">
        <f t="shared" si="28"/>
        <v>6</v>
      </c>
      <c r="K96" s="90">
        <f t="shared" si="29"/>
        <v>12</v>
      </c>
      <c r="L96" s="92">
        <f t="shared" si="30"/>
        <v>0.5</v>
      </c>
      <c r="M96" s="327"/>
      <c r="N96" s="328"/>
      <c r="O96" s="328"/>
      <c r="P96" s="329"/>
      <c r="Q96" s="122"/>
      <c r="R96" s="122"/>
      <c r="S96" s="490" t="s">
        <v>312</v>
      </c>
      <c r="T96" s="511"/>
      <c r="U96" s="91">
        <f t="shared" si="31"/>
        <v>1.5</v>
      </c>
      <c r="V96" s="90">
        <f t="shared" si="32"/>
        <v>3</v>
      </c>
      <c r="W96" s="92">
        <f t="shared" si="33"/>
        <v>0.5</v>
      </c>
    </row>
    <row r="98" spans="1:23" ht="15" thickBot="1" x14ac:dyDescent="0.4"/>
    <row r="99" spans="1:23" ht="26.5" thickBot="1" x14ac:dyDescent="0.4">
      <c r="A99" s="514" t="s">
        <v>367</v>
      </c>
      <c r="B99" s="515"/>
      <c r="C99" s="515"/>
      <c r="D99" s="515"/>
      <c r="E99" s="515"/>
      <c r="F99" s="515"/>
      <c r="G99" s="121"/>
      <c r="H99" s="425" t="s">
        <v>333</v>
      </c>
      <c r="I99" s="425"/>
      <c r="J99" s="425"/>
      <c r="K99" s="425"/>
      <c r="L99" s="425"/>
      <c r="M99" s="309"/>
      <c r="N99" s="309"/>
      <c r="O99" s="309"/>
      <c r="P99" s="309"/>
      <c r="Q99" s="121"/>
      <c r="R99" s="124" t="s">
        <v>335</v>
      </c>
      <c r="S99" s="425" t="s">
        <v>334</v>
      </c>
      <c r="T99" s="425"/>
      <c r="U99" s="425"/>
      <c r="V99" s="425"/>
      <c r="W99" s="426"/>
    </row>
    <row r="100" spans="1:23" ht="29.5" thickBot="1" x14ac:dyDescent="0.4">
      <c r="A100" s="403" t="s">
        <v>5</v>
      </c>
      <c r="B100" s="512"/>
      <c r="C100" s="118" t="s">
        <v>33</v>
      </c>
      <c r="D100" s="118" t="s">
        <v>20</v>
      </c>
      <c r="E100" s="118" t="s">
        <v>10</v>
      </c>
      <c r="F100" s="118" t="s">
        <v>277</v>
      </c>
      <c r="G100" s="62"/>
      <c r="H100" s="513" t="s">
        <v>5</v>
      </c>
      <c r="I100" s="421"/>
      <c r="J100" s="93" t="s">
        <v>33</v>
      </c>
      <c r="K100" s="119" t="s">
        <v>326</v>
      </c>
      <c r="L100" s="120" t="s">
        <v>150</v>
      </c>
      <c r="M100" s="310"/>
      <c r="N100" s="320" t="s">
        <v>33</v>
      </c>
      <c r="O100" s="320" t="s">
        <v>326</v>
      </c>
      <c r="P100" s="321" t="s">
        <v>150</v>
      </c>
      <c r="Q100" s="62"/>
      <c r="R100" s="125">
        <f>'Matchs joués'!B7</f>
        <v>3</v>
      </c>
      <c r="S100" s="513" t="s">
        <v>5</v>
      </c>
      <c r="T100" s="421"/>
      <c r="U100" s="93" t="s">
        <v>33</v>
      </c>
      <c r="V100" s="119" t="s">
        <v>326</v>
      </c>
      <c r="W100" s="120" t="s">
        <v>150</v>
      </c>
    </row>
    <row r="101" spans="1:23" ht="15" thickBot="1" x14ac:dyDescent="0.4">
      <c r="A101" s="407" t="s">
        <v>295</v>
      </c>
      <c r="B101" s="87" t="s">
        <v>15</v>
      </c>
      <c r="C101" s="152">
        <f>COUNTIFS('Données brutes'!F:F,"But",'Données brutes'!E:E,"HANA",'Données brutes'!G:G,"ALG")</f>
        <v>0</v>
      </c>
      <c r="D101" s="90">
        <f>COUNTIFS('Données brutes'!F:F,"Ar GB",'Données brutes'!E:E,"HANA",'Données brutes'!G:G,"ALG")</f>
        <v>0</v>
      </c>
      <c r="E101" s="90">
        <f>COUNTIFS('Données brutes'!F:F,"HC",'Données brutes'!E:E,"HANA",'Données brutes'!G:G,"ALG")</f>
        <v>0</v>
      </c>
      <c r="F101" s="90">
        <f>COUNTIFS('Données brutes'!F:F,"tir raté NC",'Données brutes'!E:E,"HANA",'Données brutes'!G:G,"ALG")</f>
        <v>0</v>
      </c>
      <c r="G101" s="121"/>
      <c r="H101" s="407" t="s">
        <v>295</v>
      </c>
      <c r="I101" s="32" t="s">
        <v>15</v>
      </c>
      <c r="J101" s="91">
        <f>$C101</f>
        <v>0</v>
      </c>
      <c r="K101" s="90">
        <f>$C101+$D101+$E101</f>
        <v>0</v>
      </c>
      <c r="L101" s="92" t="e">
        <f>J101/K101</f>
        <v>#DIV/0!</v>
      </c>
      <c r="M101" s="404" t="s">
        <v>295</v>
      </c>
      <c r="N101" s="496" t="s">
        <v>394</v>
      </c>
      <c r="O101" s="496"/>
      <c r="P101" s="497"/>
      <c r="Q101" s="62"/>
      <c r="R101" s="62"/>
      <c r="S101" s="407" t="s">
        <v>295</v>
      </c>
      <c r="T101" s="32" t="s">
        <v>15</v>
      </c>
      <c r="U101" s="91">
        <f>$J101/$R$2</f>
        <v>0</v>
      </c>
      <c r="V101" s="90">
        <f>$K101/$R$2</f>
        <v>0</v>
      </c>
      <c r="W101" s="92" t="e">
        <f>U101/V101</f>
        <v>#DIV/0!</v>
      </c>
    </row>
    <row r="102" spans="1:23" ht="15" thickBot="1" x14ac:dyDescent="0.4">
      <c r="A102" s="404"/>
      <c r="B102" s="13" t="s">
        <v>282</v>
      </c>
      <c r="C102" s="153">
        <f>COUNTIFS('Données brutes'!F:F,"But",'Données brutes'!E:E,"HANA",'Données brutes'!G:G,"1 2")</f>
        <v>3</v>
      </c>
      <c r="D102" s="61">
        <f>COUNTIFS('Données brutes'!F:F,"Ar GB",'Données brutes'!E:E,"HANA",'Données brutes'!G:G,"1 2")</f>
        <v>0</v>
      </c>
      <c r="E102" s="61">
        <f>COUNTIFS('Données brutes'!F:F,"HC",'Données brutes'!E:E,"HANA",'Données brutes'!G:G,"1 2")</f>
        <v>0</v>
      </c>
      <c r="F102" s="90">
        <f>COUNTIFS('Données brutes'!F:F,"tir raté NC",'Données brutes'!E:E,"HANA",'Données brutes'!G:G,"1 2")</f>
        <v>0</v>
      </c>
      <c r="G102" s="62"/>
      <c r="H102" s="404"/>
      <c r="I102" s="33" t="s">
        <v>282</v>
      </c>
      <c r="J102" s="91">
        <f t="shared" ref="J102:J121" si="38">$C102</f>
        <v>3</v>
      </c>
      <c r="K102" s="90">
        <f t="shared" ref="K102:K121" si="39">$C102+$D102+$E102</f>
        <v>3</v>
      </c>
      <c r="L102" s="92">
        <f t="shared" ref="L102:L121" si="40">J102/K102</f>
        <v>1</v>
      </c>
      <c r="M102" s="404"/>
      <c r="N102" s="319">
        <f>J101+J107</f>
        <v>0</v>
      </c>
      <c r="O102" s="319">
        <f>K101+K107</f>
        <v>0</v>
      </c>
      <c r="P102" s="322" t="e">
        <f>N102/O102</f>
        <v>#DIV/0!</v>
      </c>
      <c r="Q102" s="62"/>
      <c r="R102" s="62"/>
      <c r="S102" s="404"/>
      <c r="T102" s="33" t="s">
        <v>282</v>
      </c>
      <c r="U102" s="91">
        <f t="shared" ref="U102:U121" si="41">$J102/$R$2</f>
        <v>0.75</v>
      </c>
      <c r="V102" s="90">
        <f t="shared" ref="V102:V121" si="42">$K102/$R$2</f>
        <v>0.75</v>
      </c>
      <c r="W102" s="92">
        <f t="shared" ref="W102:W121" si="43">U102/V102</f>
        <v>1</v>
      </c>
    </row>
    <row r="103" spans="1:23" ht="15" thickBot="1" x14ac:dyDescent="0.4">
      <c r="A103" s="404"/>
      <c r="B103" s="13" t="s">
        <v>297</v>
      </c>
      <c r="C103" s="153">
        <f>COUNTIFS('Données brutes'!F:F,"But",'Données brutes'!E:E,"HANA",'Données brutes'!G:G,"2 3")</f>
        <v>1</v>
      </c>
      <c r="D103" s="61">
        <f>COUNTIFS('Données brutes'!F:F,"Ar GB",'Données brutes'!E:E,"HANA",'Données brutes'!G:G,"2 3")</f>
        <v>0</v>
      </c>
      <c r="E103" s="61">
        <f>COUNTIFS('Données brutes'!F:F,"HC",'Données brutes'!E:E,"HANA",'Données brutes'!G:G,"2 3")</f>
        <v>0</v>
      </c>
      <c r="F103" s="90">
        <f>COUNTIFS('Données brutes'!F:F,"tir raté NC",'Données brutes'!E:E,"HANA",'Données brutes'!G:G,"2 3")</f>
        <v>0</v>
      </c>
      <c r="G103" s="62"/>
      <c r="H103" s="404"/>
      <c r="I103" s="33" t="s">
        <v>297</v>
      </c>
      <c r="J103" s="91">
        <f t="shared" si="38"/>
        <v>1</v>
      </c>
      <c r="K103" s="90">
        <f t="shared" si="39"/>
        <v>1</v>
      </c>
      <c r="L103" s="92">
        <f t="shared" si="40"/>
        <v>1</v>
      </c>
      <c r="M103" s="404"/>
      <c r="N103" s="498" t="s">
        <v>395</v>
      </c>
      <c r="O103" s="498"/>
      <c r="P103" s="499"/>
      <c r="Q103" s="62"/>
      <c r="R103" s="62"/>
      <c r="S103" s="404"/>
      <c r="T103" s="33" t="s">
        <v>297</v>
      </c>
      <c r="U103" s="91">
        <f t="shared" si="41"/>
        <v>0.25</v>
      </c>
      <c r="V103" s="90">
        <f t="shared" si="42"/>
        <v>0.25</v>
      </c>
      <c r="W103" s="92">
        <f t="shared" si="43"/>
        <v>1</v>
      </c>
    </row>
    <row r="104" spans="1:23" ht="15" thickBot="1" x14ac:dyDescent="0.4">
      <c r="A104" s="404"/>
      <c r="B104" s="13" t="s">
        <v>296</v>
      </c>
      <c r="C104" s="153">
        <f>COUNTIFS('Données brutes'!F:F,"But",'Données brutes'!E:E,"HANA",'Données brutes'!G:G,"3 4")</f>
        <v>0</v>
      </c>
      <c r="D104" s="61">
        <f>COUNTIFS('Données brutes'!F:F,"Ar GB",'Données brutes'!E:E,"HANA",'Données brutes'!G:G,"3 4")</f>
        <v>1</v>
      </c>
      <c r="E104" s="61">
        <f>COUNTIFS('Données brutes'!F:F,"HC",'Données brutes'!E:E,"HANA",'Données brutes'!G:G,"3 4")</f>
        <v>0</v>
      </c>
      <c r="F104" s="90">
        <f>COUNTIFS('Données brutes'!F:F,"tir raté NC",'Données brutes'!E:E,"HANA",'Données brutes'!G:G,"3 4")</f>
        <v>0</v>
      </c>
      <c r="G104" s="62"/>
      <c r="H104" s="404"/>
      <c r="I104" s="33" t="s">
        <v>296</v>
      </c>
      <c r="J104" s="91">
        <f t="shared" si="38"/>
        <v>0</v>
      </c>
      <c r="K104" s="90">
        <f t="shared" si="39"/>
        <v>1</v>
      </c>
      <c r="L104" s="92">
        <f t="shared" si="40"/>
        <v>0</v>
      </c>
      <c r="M104" s="404"/>
      <c r="N104" s="319">
        <f>J102+J106</f>
        <v>3</v>
      </c>
      <c r="O104" s="319">
        <f>K102+K106</f>
        <v>4</v>
      </c>
      <c r="P104" s="322">
        <f>N104/O104</f>
        <v>0.75</v>
      </c>
      <c r="Q104" s="62"/>
      <c r="R104" s="62"/>
      <c r="S104" s="404"/>
      <c r="T104" s="33" t="s">
        <v>296</v>
      </c>
      <c r="U104" s="91">
        <f t="shared" si="41"/>
        <v>0</v>
      </c>
      <c r="V104" s="90">
        <f t="shared" si="42"/>
        <v>0.25</v>
      </c>
      <c r="W104" s="92">
        <f t="shared" si="43"/>
        <v>0</v>
      </c>
    </row>
    <row r="105" spans="1:23" ht="15" thickBot="1" x14ac:dyDescent="0.4">
      <c r="A105" s="404"/>
      <c r="B105" s="13" t="s">
        <v>298</v>
      </c>
      <c r="C105" s="153">
        <f>COUNTIFS('Données brutes'!F:F,"But",'Données brutes'!E:E,"HANA",'Données brutes'!G:G,"4 5")</f>
        <v>0</v>
      </c>
      <c r="D105" s="61">
        <f>COUNTIFS('Données brutes'!F:F,"Ar GB",'Données brutes'!E:E,"HANA",'Données brutes'!G:G,"4 5")</f>
        <v>0</v>
      </c>
      <c r="E105" s="61">
        <f>COUNTIFS('Données brutes'!F:F,"HC",'Données brutes'!E:E,"HANA",'Données brutes'!G:G,"4 5")</f>
        <v>0</v>
      </c>
      <c r="F105" s="90">
        <f>COUNTIFS('Données brutes'!F:F,"tir raté NC",'Données brutes'!E:E,"HANA",'Données brutes'!G:G,"4 5")</f>
        <v>0</v>
      </c>
      <c r="G105" s="62"/>
      <c r="H105" s="404"/>
      <c r="I105" s="33" t="s">
        <v>298</v>
      </c>
      <c r="J105" s="91">
        <f t="shared" si="38"/>
        <v>0</v>
      </c>
      <c r="K105" s="90">
        <f t="shared" si="39"/>
        <v>0</v>
      </c>
      <c r="L105" s="92" t="e">
        <f t="shared" si="40"/>
        <v>#DIV/0!</v>
      </c>
      <c r="M105" s="404"/>
      <c r="N105" s="498" t="s">
        <v>396</v>
      </c>
      <c r="O105" s="498"/>
      <c r="P105" s="499"/>
      <c r="Q105" s="62"/>
      <c r="R105" s="62"/>
      <c r="S105" s="404"/>
      <c r="T105" s="33" t="s">
        <v>298</v>
      </c>
      <c r="U105" s="91">
        <f t="shared" si="41"/>
        <v>0</v>
      </c>
      <c r="V105" s="90">
        <f t="shared" si="42"/>
        <v>0</v>
      </c>
      <c r="W105" s="92" t="e">
        <f t="shared" si="43"/>
        <v>#DIV/0!</v>
      </c>
    </row>
    <row r="106" spans="1:23" ht="15" thickBot="1" x14ac:dyDescent="0.4">
      <c r="A106" s="404"/>
      <c r="B106" s="13" t="s">
        <v>283</v>
      </c>
      <c r="C106" s="153">
        <f>COUNTIFS('Données brutes'!F:F,"But",'Données brutes'!E:E,"HANA",'Données brutes'!G:G,"5 6")</f>
        <v>0</v>
      </c>
      <c r="D106" s="61">
        <f>COUNTIFS('Données brutes'!F:F,"Ar GB",'Données brutes'!E:E,"HANA",'Données brutes'!G:G,"5 6")</f>
        <v>1</v>
      </c>
      <c r="E106" s="61">
        <f>COUNTIFS('Données brutes'!F:F,"HC",'Données brutes'!E:E,"HANA",'Données brutes'!G:G,"5 6")</f>
        <v>0</v>
      </c>
      <c r="F106" s="90">
        <f>COUNTIFS('Données brutes'!F:F,"tir raté NC",'Données brutes'!E:E,"HANA",'Données brutes'!G:G,"5 6")</f>
        <v>0</v>
      </c>
      <c r="G106" s="62"/>
      <c r="H106" s="404"/>
      <c r="I106" s="33" t="s">
        <v>283</v>
      </c>
      <c r="J106" s="91">
        <f t="shared" si="38"/>
        <v>0</v>
      </c>
      <c r="K106" s="90">
        <f t="shared" si="39"/>
        <v>1</v>
      </c>
      <c r="L106" s="92">
        <f t="shared" si="40"/>
        <v>0</v>
      </c>
      <c r="M106" s="404"/>
      <c r="N106" s="319">
        <f>J103+J104+J105</f>
        <v>1</v>
      </c>
      <c r="O106" s="319">
        <f>K103+K104+K105</f>
        <v>2</v>
      </c>
      <c r="P106" s="322">
        <f>N106/O106</f>
        <v>0.5</v>
      </c>
      <c r="Q106" s="62"/>
      <c r="R106" s="62"/>
      <c r="S106" s="404"/>
      <c r="T106" s="33" t="s">
        <v>283</v>
      </c>
      <c r="U106" s="91">
        <f t="shared" si="41"/>
        <v>0</v>
      </c>
      <c r="V106" s="90">
        <f t="shared" si="42"/>
        <v>0.25</v>
      </c>
      <c r="W106" s="92">
        <f t="shared" si="43"/>
        <v>0</v>
      </c>
    </row>
    <row r="107" spans="1:23" ht="15" thickBot="1" x14ac:dyDescent="0.4">
      <c r="A107" s="490"/>
      <c r="B107" s="36" t="s">
        <v>17</v>
      </c>
      <c r="C107" s="154">
        <f>COUNTIFS('Données brutes'!F:F,"But",'Données brutes'!E:E,"HANA",'Données brutes'!G:G,"ALD")</f>
        <v>0</v>
      </c>
      <c r="D107" s="155">
        <f>COUNTIFS('Données brutes'!F:F,"Ar GB",'Données brutes'!E:E,"HANA",'Données brutes'!G:G,"ALD")</f>
        <v>0</v>
      </c>
      <c r="E107" s="155">
        <f>COUNTIFS('Données brutes'!F:F,"HC",'Données brutes'!E:E,"HANA",'Données brutes'!G:G,"ALD")</f>
        <v>0</v>
      </c>
      <c r="F107" s="90">
        <f>COUNTIFS('Données brutes'!F:F,"tir raté NC",'Données brutes'!E:E,"HANA",'Données brutes'!G:G,"ALD")</f>
        <v>0</v>
      </c>
      <c r="G107" s="122"/>
      <c r="H107" s="490"/>
      <c r="I107" s="73" t="s">
        <v>17</v>
      </c>
      <c r="J107" s="91">
        <f t="shared" si="38"/>
        <v>0</v>
      </c>
      <c r="K107" s="90">
        <f t="shared" si="39"/>
        <v>0</v>
      </c>
      <c r="L107" s="92" t="e">
        <f t="shared" si="40"/>
        <v>#DIV/0!</v>
      </c>
      <c r="M107" s="404"/>
      <c r="N107" s="325"/>
      <c r="O107" s="325"/>
      <c r="P107" s="326"/>
      <c r="Q107" s="62"/>
      <c r="R107" s="62"/>
      <c r="S107" s="490"/>
      <c r="T107" s="73" t="s">
        <v>17</v>
      </c>
      <c r="U107" s="91">
        <f t="shared" si="41"/>
        <v>0</v>
      </c>
      <c r="V107" s="90">
        <f t="shared" si="42"/>
        <v>0</v>
      </c>
      <c r="W107" s="92" t="e">
        <f t="shared" si="43"/>
        <v>#DIV/0!</v>
      </c>
    </row>
    <row r="108" spans="1:23" ht="15" customHeight="1" thickBot="1" x14ac:dyDescent="0.4">
      <c r="A108" s="491" t="s">
        <v>299</v>
      </c>
      <c r="B108" s="87" t="s">
        <v>301</v>
      </c>
      <c r="C108" s="152">
        <f>COUNTIFS('Données brutes'!F:F,"But",'Données brutes'!E:E,"HANA",'Données brutes'!G:G,"Central 7m 9m appui")</f>
        <v>0</v>
      </c>
      <c r="D108" s="90">
        <f>COUNTIFS('Données brutes'!F:F,"Ar GB",'Données brutes'!E:E,"HANA",'Données brutes'!G:G,"Central 7m 9m appui")</f>
        <v>1</v>
      </c>
      <c r="E108" s="90">
        <f>COUNTIFS('Données brutes'!F:F,"HC",'Données brutes'!E:E,"HANA",'Données brutes'!G:G,"Central 7m 9m appui")</f>
        <v>0</v>
      </c>
      <c r="F108" s="90">
        <f>COUNTIFS('Données brutes'!F:F,"tir raté NC",'Données brutes'!E:E,"HANA",'Données brutes'!G:G,"ALD")</f>
        <v>0</v>
      </c>
      <c r="G108" s="121"/>
      <c r="H108" s="491" t="s">
        <v>299</v>
      </c>
      <c r="I108" s="32" t="s">
        <v>301</v>
      </c>
      <c r="J108" s="91">
        <f t="shared" si="38"/>
        <v>0</v>
      </c>
      <c r="K108" s="90">
        <f t="shared" si="39"/>
        <v>1</v>
      </c>
      <c r="L108" s="92">
        <f t="shared" si="40"/>
        <v>0</v>
      </c>
      <c r="M108" s="495" t="s">
        <v>299</v>
      </c>
      <c r="N108" s="319">
        <f>SUM(J108:J110)</f>
        <v>1</v>
      </c>
      <c r="O108" s="319">
        <f>SUM(K108:K110)</f>
        <v>3</v>
      </c>
      <c r="P108" s="322">
        <f>N108/O108</f>
        <v>0.33333333333333331</v>
      </c>
      <c r="Q108" s="62"/>
      <c r="R108" s="62"/>
      <c r="S108" s="491" t="s">
        <v>299</v>
      </c>
      <c r="T108" s="32" t="s">
        <v>301</v>
      </c>
      <c r="U108" s="91">
        <f t="shared" si="41"/>
        <v>0</v>
      </c>
      <c r="V108" s="90">
        <f t="shared" si="42"/>
        <v>0.25</v>
      </c>
      <c r="W108" s="92">
        <f t="shared" si="43"/>
        <v>0</v>
      </c>
    </row>
    <row r="109" spans="1:23" ht="15" thickBot="1" x14ac:dyDescent="0.4">
      <c r="A109" s="495"/>
      <c r="B109" s="13" t="s">
        <v>302</v>
      </c>
      <c r="C109" s="153">
        <f>COUNTIFS('Données brutes'!F:F,"But",'Données brutes'!E:E,"HANA",'Données brutes'!G:G,"7m 9m Ext G appui")</f>
        <v>1</v>
      </c>
      <c r="D109" s="61">
        <f>COUNTIFS('Données brutes'!F:F,"Ar GB",'Données brutes'!E:E,"HANA",'Données brutes'!G:G,"7m 9m Ext G appui")</f>
        <v>0</v>
      </c>
      <c r="E109" s="61">
        <f>COUNTIFS('Données brutes'!F:F,"HC",'Données brutes'!E:E,"HANA",'Données brutes'!G:G,"7m 9m Ext G appui")</f>
        <v>1</v>
      </c>
      <c r="F109" s="90">
        <f>COUNTIFS('Données brutes'!F:F,"tir raté NC",'Données brutes'!E:E,"HANA",'Données brutes'!G:G,"7m 9m Ext G appui")</f>
        <v>0</v>
      </c>
      <c r="G109" s="62"/>
      <c r="H109" s="495"/>
      <c r="I109" s="33" t="s">
        <v>302</v>
      </c>
      <c r="J109" s="91">
        <f t="shared" si="38"/>
        <v>1</v>
      </c>
      <c r="K109" s="90">
        <f t="shared" si="39"/>
        <v>2</v>
      </c>
      <c r="L109" s="92">
        <f t="shared" si="40"/>
        <v>0.5</v>
      </c>
      <c r="M109" s="495"/>
      <c r="N109" s="325"/>
      <c r="O109" s="325"/>
      <c r="P109" s="326"/>
      <c r="Q109" s="62"/>
      <c r="R109" s="62"/>
      <c r="S109" s="495"/>
      <c r="T109" s="33" t="s">
        <v>302</v>
      </c>
      <c r="U109" s="91">
        <f t="shared" si="41"/>
        <v>0.25</v>
      </c>
      <c r="V109" s="90">
        <f t="shared" si="42"/>
        <v>0.5</v>
      </c>
      <c r="W109" s="92">
        <f t="shared" si="43"/>
        <v>0.5</v>
      </c>
    </row>
    <row r="110" spans="1:23" ht="15" thickBot="1" x14ac:dyDescent="0.4">
      <c r="A110" s="492"/>
      <c r="B110" s="36" t="s">
        <v>303</v>
      </c>
      <c r="C110" s="154">
        <f>COUNTIFS('Données brutes'!F:F,"But",'Données brutes'!E:E,"HANA",'Données brutes'!G:G,"7m 9m Ext D appui")</f>
        <v>0</v>
      </c>
      <c r="D110" s="155">
        <f>COUNTIFS('Données brutes'!F:F,"Ar GB",'Données brutes'!E:E,"HANA",'Données brutes'!G:G,"7m 9m Ext D appui")</f>
        <v>0</v>
      </c>
      <c r="E110" s="155">
        <f>COUNTIFS('Données brutes'!F:F,"HC",'Données brutes'!E:E,"HANA",'Données brutes'!G:G,"7m 9m Ext D appui")</f>
        <v>0</v>
      </c>
      <c r="F110" s="90">
        <f>COUNTIFS('Données brutes'!F:F,"tir raté NC",'Données brutes'!E:E,"HANA",'Données brutes'!G:G,"ALD")</f>
        <v>0</v>
      </c>
      <c r="G110" s="122"/>
      <c r="H110" s="492"/>
      <c r="I110" s="73" t="s">
        <v>303</v>
      </c>
      <c r="J110" s="91">
        <f t="shared" si="38"/>
        <v>0</v>
      </c>
      <c r="K110" s="90">
        <f t="shared" si="39"/>
        <v>0</v>
      </c>
      <c r="L110" s="92" t="e">
        <f t="shared" si="40"/>
        <v>#DIV/0!</v>
      </c>
      <c r="M110" s="495"/>
      <c r="N110" s="325"/>
      <c r="O110" s="325"/>
      <c r="P110" s="326"/>
      <c r="Q110" s="62"/>
      <c r="R110" s="62"/>
      <c r="S110" s="492"/>
      <c r="T110" s="73" t="s">
        <v>303</v>
      </c>
      <c r="U110" s="91">
        <f t="shared" si="41"/>
        <v>0</v>
      </c>
      <c r="V110" s="90">
        <f t="shared" si="42"/>
        <v>0</v>
      </c>
      <c r="W110" s="92" t="e">
        <f t="shared" si="43"/>
        <v>#DIV/0!</v>
      </c>
    </row>
    <row r="111" spans="1:23" ht="15" customHeight="1" thickBot="1" x14ac:dyDescent="0.4">
      <c r="A111" s="493" t="s">
        <v>300</v>
      </c>
      <c r="B111" s="87" t="s">
        <v>304</v>
      </c>
      <c r="C111" s="152">
        <f>COUNTIFS('Données brutes'!F:F,"But",'Données brutes'!E:E,"HANA",'Données brutes'!G:G,"7m 9m central suspension")</f>
        <v>0</v>
      </c>
      <c r="D111" s="90">
        <f>COUNTIFS('Données brutes'!F:F,"Ar GB",'Données brutes'!E:E,"HANA",'Données brutes'!G:G,"7m 9m central suspension")</f>
        <v>0</v>
      </c>
      <c r="E111" s="90">
        <f>COUNTIFS('Données brutes'!F:F,"HC",'Données brutes'!E:E,"HANA",'Données brutes'!G:G,"7m 9m central suspension")</f>
        <v>0</v>
      </c>
      <c r="F111" s="90">
        <f>COUNTIFS('Données brutes'!F:F,"tir raté NC",'Données brutes'!E:E,"HANA",'Données brutes'!G:G,"ALD")</f>
        <v>0</v>
      </c>
      <c r="G111" s="121"/>
      <c r="H111" s="493" t="s">
        <v>300</v>
      </c>
      <c r="I111" s="32" t="s">
        <v>304</v>
      </c>
      <c r="J111" s="91">
        <f t="shared" si="38"/>
        <v>0</v>
      </c>
      <c r="K111" s="90">
        <f t="shared" si="39"/>
        <v>0</v>
      </c>
      <c r="L111" s="92" t="e">
        <f t="shared" si="40"/>
        <v>#DIV/0!</v>
      </c>
      <c r="M111" s="495" t="s">
        <v>300</v>
      </c>
      <c r="N111" s="319">
        <f>SUM(J111:J113)</f>
        <v>0</v>
      </c>
      <c r="O111" s="319">
        <f>SUM(K111:K113)</f>
        <v>0</v>
      </c>
      <c r="P111" s="322" t="e">
        <f>N111/O111</f>
        <v>#DIV/0!</v>
      </c>
      <c r="Q111" s="62"/>
      <c r="R111" s="62"/>
      <c r="S111" s="493" t="s">
        <v>300</v>
      </c>
      <c r="T111" s="32" t="s">
        <v>304</v>
      </c>
      <c r="U111" s="91">
        <f t="shared" si="41"/>
        <v>0</v>
      </c>
      <c r="V111" s="90">
        <f t="shared" si="42"/>
        <v>0</v>
      </c>
      <c r="W111" s="92" t="e">
        <f t="shared" si="43"/>
        <v>#DIV/0!</v>
      </c>
    </row>
    <row r="112" spans="1:23" ht="15" thickBot="1" x14ac:dyDescent="0.4">
      <c r="A112" s="506"/>
      <c r="B112" s="13" t="s">
        <v>305</v>
      </c>
      <c r="C112" s="153">
        <f>COUNTIFS('Données brutes'!F:F,"But",'Données brutes'!E:E,"HANA",'Données brutes'!G:G,"7m 9m Ext G suspension")</f>
        <v>0</v>
      </c>
      <c r="D112" s="61">
        <f>COUNTIFS('Données brutes'!F:F,"Ar GB",'Données brutes'!E:E,"HANA",'Données brutes'!G:G,"7m 9m Ext G suspension")</f>
        <v>0</v>
      </c>
      <c r="E112" s="61">
        <f>COUNTIFS('Données brutes'!F:F,"HC",'Données brutes'!E:E,"HANA",'Données brutes'!G:G,"7m 9m Ext G suspension")</f>
        <v>0</v>
      </c>
      <c r="F112" s="90">
        <f>COUNTIFS('Données brutes'!F:F,"tir raté NC",'Données brutes'!E:E,"HANA",'Données brutes'!G:G,"ALD")</f>
        <v>0</v>
      </c>
      <c r="G112" s="62"/>
      <c r="H112" s="506"/>
      <c r="I112" s="33" t="s">
        <v>305</v>
      </c>
      <c r="J112" s="91">
        <f t="shared" si="38"/>
        <v>0</v>
      </c>
      <c r="K112" s="90">
        <f t="shared" si="39"/>
        <v>0</v>
      </c>
      <c r="L112" s="92" t="e">
        <f t="shared" si="40"/>
        <v>#DIV/0!</v>
      </c>
      <c r="M112" s="495"/>
      <c r="N112" s="325"/>
      <c r="O112" s="325"/>
      <c r="P112" s="326"/>
      <c r="Q112" s="62"/>
      <c r="R112" s="62"/>
      <c r="S112" s="506"/>
      <c r="T112" s="33" t="s">
        <v>305</v>
      </c>
      <c r="U112" s="91">
        <f t="shared" si="41"/>
        <v>0</v>
      </c>
      <c r="V112" s="90">
        <f t="shared" si="42"/>
        <v>0</v>
      </c>
      <c r="W112" s="92" t="e">
        <f t="shared" si="43"/>
        <v>#DIV/0!</v>
      </c>
    </row>
    <row r="113" spans="1:23" ht="15" thickBot="1" x14ac:dyDescent="0.4">
      <c r="A113" s="494"/>
      <c r="B113" s="36" t="s">
        <v>306</v>
      </c>
      <c r="C113" s="153">
        <f>COUNTIFS('Données brutes'!F:F,"But",'Données brutes'!E:E,"HANA",'Données brutes'!G:G,"7m 9m Ext D suspension")</f>
        <v>0</v>
      </c>
      <c r="D113" s="61">
        <f>COUNTIFS('Données brutes'!F:F,"Ar GB",'Données brutes'!E:E,"HANA",'Données brutes'!G:G,"7m 9m Ext D suspension")</f>
        <v>0</v>
      </c>
      <c r="E113" s="61">
        <f>COUNTIFS('Données brutes'!F:F,"HC",'Données brutes'!E:E,"HANA",'Données brutes'!G:G,"7m 9m Ext D suspension")</f>
        <v>0</v>
      </c>
      <c r="F113" s="90">
        <f>COUNTIFS('Données brutes'!F:F,"tir raté NC",'Données brutes'!E:E,"HANA",'Données brutes'!G:G,"7m 9m Ext D suspension")</f>
        <v>0</v>
      </c>
      <c r="G113" s="122"/>
      <c r="H113" s="494"/>
      <c r="I113" s="73" t="s">
        <v>306</v>
      </c>
      <c r="J113" s="91">
        <f t="shared" si="38"/>
        <v>0</v>
      </c>
      <c r="K113" s="90">
        <f t="shared" si="39"/>
        <v>0</v>
      </c>
      <c r="L113" s="92" t="e">
        <f t="shared" si="40"/>
        <v>#DIV/0!</v>
      </c>
      <c r="M113" s="495"/>
      <c r="N113" s="325"/>
      <c r="O113" s="325"/>
      <c r="P113" s="326"/>
      <c r="Q113" s="62"/>
      <c r="R113" s="62"/>
      <c r="S113" s="494"/>
      <c r="T113" s="73" t="s">
        <v>306</v>
      </c>
      <c r="U113" s="91">
        <f t="shared" si="41"/>
        <v>0</v>
      </c>
      <c r="V113" s="90">
        <f t="shared" si="42"/>
        <v>0</v>
      </c>
      <c r="W113" s="92" t="e">
        <f t="shared" si="43"/>
        <v>#DIV/0!</v>
      </c>
    </row>
    <row r="114" spans="1:23" ht="15" thickBot="1" x14ac:dyDescent="0.4">
      <c r="A114" s="407" t="s">
        <v>146</v>
      </c>
      <c r="B114" s="87" t="s">
        <v>307</v>
      </c>
      <c r="C114" s="152">
        <f>COUNTIFS('Données brutes'!F:F,"But",'Données brutes'!E:E,"HANA",'Données brutes'!G:G,"9m G")</f>
        <v>3</v>
      </c>
      <c r="D114" s="90">
        <f>COUNTIFS('Données brutes'!F:F,"Ar GB",'Données brutes'!E:E,"HANA",'Données brutes'!G:G,"9m G")</f>
        <v>1</v>
      </c>
      <c r="E114" s="90">
        <f>COUNTIFS('Données brutes'!F:F,"HC",'Données brutes'!E:E,"HANA",'Données brutes'!G:G,"9m G")</f>
        <v>0</v>
      </c>
      <c r="F114" s="90">
        <f>COUNTIFS('Données brutes'!F:F,"tir raté NC",'Données brutes'!E:E,"HANA",'Données brutes'!G:G,"9m G")</f>
        <v>1</v>
      </c>
      <c r="G114" s="121"/>
      <c r="H114" s="407" t="s">
        <v>146</v>
      </c>
      <c r="I114" s="32" t="s">
        <v>307</v>
      </c>
      <c r="J114" s="91">
        <f t="shared" si="38"/>
        <v>3</v>
      </c>
      <c r="K114" s="90">
        <f t="shared" si="39"/>
        <v>4</v>
      </c>
      <c r="L114" s="92">
        <f t="shared" si="40"/>
        <v>0.75</v>
      </c>
      <c r="M114" s="404" t="s">
        <v>146</v>
      </c>
      <c r="N114" s="319">
        <f>SUM(J114:J116)</f>
        <v>4</v>
      </c>
      <c r="O114" s="319">
        <f>SUM(K114:K116)</f>
        <v>7</v>
      </c>
      <c r="P114" s="322">
        <f>N114/O114</f>
        <v>0.5714285714285714</v>
      </c>
      <c r="Q114" s="62"/>
      <c r="R114" s="62"/>
      <c r="S114" s="407" t="s">
        <v>146</v>
      </c>
      <c r="T114" s="32" t="s">
        <v>307</v>
      </c>
      <c r="U114" s="91">
        <f t="shared" si="41"/>
        <v>0.75</v>
      </c>
      <c r="V114" s="90">
        <f t="shared" si="42"/>
        <v>1</v>
      </c>
      <c r="W114" s="92">
        <f t="shared" si="43"/>
        <v>0.75</v>
      </c>
    </row>
    <row r="115" spans="1:23" ht="15" thickBot="1" x14ac:dyDescent="0.4">
      <c r="A115" s="404"/>
      <c r="B115" s="13" t="s">
        <v>308</v>
      </c>
      <c r="C115" s="152">
        <f>COUNTIFS('Données brutes'!F:F,"But",'Données brutes'!E:E,"HANA",'Données brutes'!G:G,"9m +")</f>
        <v>1</v>
      </c>
      <c r="D115" s="90">
        <f>COUNTIFS('Données brutes'!F:F,"Ar GB",'Données brutes'!E:E,"HANA",'Données brutes'!G:G,"9m +")</f>
        <v>0</v>
      </c>
      <c r="E115" s="90">
        <f>COUNTIFS('Données brutes'!F:F,"HC",'Données brutes'!E:E,"HANA",'Données brutes'!G:G,"9m +")</f>
        <v>2</v>
      </c>
      <c r="F115" s="90">
        <f>COUNTIFS('Données brutes'!F:F,"tir raté NC",'Données brutes'!E:E,"HANA",'Données brutes'!G:G,"9m +")</f>
        <v>2</v>
      </c>
      <c r="G115" s="62"/>
      <c r="H115" s="404"/>
      <c r="I115" s="33" t="s">
        <v>308</v>
      </c>
      <c r="J115" s="91">
        <f t="shared" si="38"/>
        <v>1</v>
      </c>
      <c r="K115" s="90">
        <f t="shared" si="39"/>
        <v>3</v>
      </c>
      <c r="L115" s="92">
        <f t="shared" si="40"/>
        <v>0.33333333333333331</v>
      </c>
      <c r="M115" s="404"/>
      <c r="N115" s="325"/>
      <c r="O115" s="325"/>
      <c r="P115" s="326"/>
      <c r="Q115" s="62"/>
      <c r="R115" s="62"/>
      <c r="S115" s="404"/>
      <c r="T115" s="33" t="s">
        <v>308</v>
      </c>
      <c r="U115" s="91">
        <f t="shared" si="41"/>
        <v>0.25</v>
      </c>
      <c r="V115" s="90">
        <f t="shared" si="42"/>
        <v>0.75</v>
      </c>
      <c r="W115" s="92">
        <f t="shared" si="43"/>
        <v>0.33333333333333331</v>
      </c>
    </row>
    <row r="116" spans="1:23" ht="15" thickBot="1" x14ac:dyDescent="0.4">
      <c r="A116" s="490"/>
      <c r="B116" s="36" t="s">
        <v>309</v>
      </c>
      <c r="C116" s="152">
        <f>COUNTIFS('Données brutes'!F:F,"But",'Données brutes'!E:E,"HANA",'Données brutes'!G:G,"9m D")</f>
        <v>0</v>
      </c>
      <c r="D116" s="90">
        <f>COUNTIFS('Données brutes'!F:F,"Ar GB",'Données brutes'!E:E,"HANA",'Données brutes'!G:G,"9m D")</f>
        <v>0</v>
      </c>
      <c r="E116" s="90">
        <f>COUNTIFS('Données brutes'!F:F,"HC",'Données brutes'!E:E,"HANA",'Données brutes'!G:G,"9m D")</f>
        <v>0</v>
      </c>
      <c r="F116" s="90">
        <f>COUNTIFS('Données brutes'!F:F,"tir raté NC",'Données brutes'!E:E,"HANA",'Données brutes'!G:G,"9m D")</f>
        <v>0</v>
      </c>
      <c r="G116" s="122"/>
      <c r="H116" s="490"/>
      <c r="I116" s="73" t="s">
        <v>309</v>
      </c>
      <c r="J116" s="91">
        <f t="shared" si="38"/>
        <v>0</v>
      </c>
      <c r="K116" s="90">
        <f t="shared" si="39"/>
        <v>0</v>
      </c>
      <c r="L116" s="92" t="e">
        <f t="shared" si="40"/>
        <v>#DIV/0!</v>
      </c>
      <c r="M116" s="404"/>
      <c r="N116" s="325"/>
      <c r="O116" s="325"/>
      <c r="P116" s="326"/>
      <c r="Q116" s="62"/>
      <c r="R116" s="62"/>
      <c r="S116" s="490"/>
      <c r="T116" s="73" t="s">
        <v>309</v>
      </c>
      <c r="U116" s="91">
        <f t="shared" si="41"/>
        <v>0</v>
      </c>
      <c r="V116" s="90">
        <f t="shared" si="42"/>
        <v>0</v>
      </c>
      <c r="W116" s="92" t="e">
        <f t="shared" si="43"/>
        <v>#DIV/0!</v>
      </c>
    </row>
    <row r="117" spans="1:23" ht="15" customHeight="1" thickBot="1" x14ac:dyDescent="0.4">
      <c r="A117" s="493" t="s">
        <v>310</v>
      </c>
      <c r="B117" s="87" t="s">
        <v>22</v>
      </c>
      <c r="C117" s="152">
        <f>COUNTIFS('Données brutes'!F:F,"But",'Données brutes'!E:E,"HANA",'Données brutes'!G:G,"But vide")</f>
        <v>0</v>
      </c>
      <c r="D117" s="90">
        <f>COUNTIFS('Données brutes'!F:F,"Ar GB",'Données brutes'!E:E,"HANA",'Données brutes'!G:G,"But vide")</f>
        <v>0</v>
      </c>
      <c r="E117" s="90">
        <f>COUNTIFS('Données brutes'!F:F,"HC",'Données brutes'!E:E,"HANA",'Données brutes'!G:G,"But vide")</f>
        <v>0</v>
      </c>
      <c r="F117" s="90">
        <f>COUNTIFS('Données brutes'!F:F,"tir raté NC",'Données brutes'!E:E,"HANA",'Données brutes'!G:G,"But vide")</f>
        <v>0</v>
      </c>
      <c r="G117" s="121"/>
      <c r="H117" s="493" t="s">
        <v>310</v>
      </c>
      <c r="I117" s="32" t="s">
        <v>22</v>
      </c>
      <c r="J117" s="91">
        <f t="shared" si="38"/>
        <v>0</v>
      </c>
      <c r="K117" s="90">
        <f t="shared" si="39"/>
        <v>0</v>
      </c>
      <c r="L117" s="92" t="e">
        <f t="shared" si="40"/>
        <v>#DIV/0!</v>
      </c>
      <c r="M117" s="495" t="s">
        <v>310</v>
      </c>
      <c r="N117" s="319">
        <f>J117+J118</f>
        <v>1</v>
      </c>
      <c r="O117" s="319">
        <f>K117+K118</f>
        <v>1</v>
      </c>
      <c r="P117" s="322">
        <f>N117/O117</f>
        <v>1</v>
      </c>
      <c r="Q117" s="62"/>
      <c r="R117" s="62"/>
      <c r="S117" s="493" t="s">
        <v>310</v>
      </c>
      <c r="T117" s="32" t="s">
        <v>22</v>
      </c>
      <c r="U117" s="91">
        <f t="shared" si="41"/>
        <v>0</v>
      </c>
      <c r="V117" s="90">
        <f t="shared" si="42"/>
        <v>0</v>
      </c>
      <c r="W117" s="92" t="e">
        <f t="shared" si="43"/>
        <v>#DIV/0!</v>
      </c>
    </row>
    <row r="118" spans="1:23" ht="15" thickBot="1" x14ac:dyDescent="0.4">
      <c r="A118" s="494"/>
      <c r="B118" s="36" t="s">
        <v>12</v>
      </c>
      <c r="C118" s="152">
        <f>COUNTIFS('Données brutes'!F:F,"But",'Données brutes'!E:E,"HANA",'Données brutes'!G:G,"CA MB")</f>
        <v>1</v>
      </c>
      <c r="D118" s="90">
        <f>COUNTIFS('Données brutes'!F:F,"Ar GB",'Données brutes'!E:E,"HANA",'Données brutes'!G:G,"CA MB")</f>
        <v>0</v>
      </c>
      <c r="E118" s="90">
        <f>COUNTIFS('Données brutes'!F:F,"HC",'Données brutes'!E:E,"HANA",'Données brutes'!G:G,"CA MB")</f>
        <v>0</v>
      </c>
      <c r="F118" s="90">
        <f>COUNTIFS('Données brutes'!F:F,"tir raté NC",'Données brutes'!E:E,"HANA",'Données brutes'!G:G,"CA MB")</f>
        <v>0</v>
      </c>
      <c r="G118" s="122"/>
      <c r="H118" s="494"/>
      <c r="I118" s="73" t="s">
        <v>12</v>
      </c>
      <c r="J118" s="91">
        <f t="shared" si="38"/>
        <v>1</v>
      </c>
      <c r="K118" s="90">
        <f t="shared" si="39"/>
        <v>1</v>
      </c>
      <c r="L118" s="92">
        <f t="shared" si="40"/>
        <v>1</v>
      </c>
      <c r="M118" s="495"/>
      <c r="N118" s="325"/>
      <c r="O118" s="325"/>
      <c r="P118" s="326"/>
      <c r="Q118" s="62"/>
      <c r="R118" s="62"/>
      <c r="S118" s="494"/>
      <c r="T118" s="73" t="s">
        <v>12</v>
      </c>
      <c r="U118" s="91">
        <f t="shared" si="41"/>
        <v>0.25</v>
      </c>
      <c r="V118" s="90">
        <f t="shared" si="42"/>
        <v>0.25</v>
      </c>
      <c r="W118" s="92">
        <f t="shared" si="43"/>
        <v>1</v>
      </c>
    </row>
    <row r="119" spans="1:23" ht="15" thickBot="1" x14ac:dyDescent="0.4">
      <c r="A119" s="488" t="s">
        <v>311</v>
      </c>
      <c r="B119" s="507"/>
      <c r="C119" s="156">
        <f>SUM(C101:C118)</f>
        <v>10</v>
      </c>
      <c r="D119" s="157">
        <f t="shared" ref="D119:E119" si="44">SUM(D101:D118)</f>
        <v>4</v>
      </c>
      <c r="E119" s="157">
        <f t="shared" si="44"/>
        <v>3</v>
      </c>
      <c r="F119" s="157">
        <f>SUM(F101:F114)</f>
        <v>1</v>
      </c>
      <c r="G119" s="123"/>
      <c r="H119" s="488" t="s">
        <v>311</v>
      </c>
      <c r="I119" s="489"/>
      <c r="J119" s="91">
        <f t="shared" si="38"/>
        <v>10</v>
      </c>
      <c r="K119" s="90">
        <f t="shared" si="39"/>
        <v>17</v>
      </c>
      <c r="L119" s="92">
        <f t="shared" si="40"/>
        <v>0.58823529411764708</v>
      </c>
      <c r="M119" s="324"/>
      <c r="N119" s="325"/>
      <c r="O119" s="325"/>
      <c r="P119" s="326"/>
      <c r="Q119" s="62"/>
      <c r="R119" s="62"/>
      <c r="S119" s="488" t="s">
        <v>311</v>
      </c>
      <c r="T119" s="489"/>
      <c r="U119" s="91">
        <f t="shared" si="41"/>
        <v>2.5</v>
      </c>
      <c r="V119" s="90">
        <f t="shared" si="42"/>
        <v>4.25</v>
      </c>
      <c r="W119" s="92">
        <f t="shared" si="43"/>
        <v>0.58823529411764708</v>
      </c>
    </row>
    <row r="120" spans="1:23" ht="15" thickBot="1" x14ac:dyDescent="0.4">
      <c r="A120" s="94"/>
      <c r="B120" s="87" t="s">
        <v>59</v>
      </c>
      <c r="C120" s="152">
        <f>COUNTIFS('Données brutes'!F:F,"But",'Données brutes'!E:E,"HANA",'Données brutes'!G:G,"Jet 7m")</f>
        <v>0</v>
      </c>
      <c r="D120" s="90">
        <f>COUNTIFS('Données brutes'!F:F,"Ar GB",'Données brutes'!E:E,"HANA",'Données brutes'!G:G,"Jet 7m")</f>
        <v>0</v>
      </c>
      <c r="E120" s="90">
        <f>COUNTIFS('Données brutes'!F:F,"HC",'Données brutes'!E:E,"HANA",'Données brutes'!G:G,"Jet 7m")</f>
        <v>0</v>
      </c>
      <c r="F120" s="90">
        <f>COUNTIFS('Données brutes'!F:F,"tir raté NC",'Données brutes'!E:E,"HANA",'Données brutes'!G:G,"Jet 7m")</f>
        <v>0</v>
      </c>
      <c r="G120" s="508"/>
      <c r="H120" s="94"/>
      <c r="I120" s="32" t="s">
        <v>59</v>
      </c>
      <c r="J120" s="91">
        <f t="shared" si="38"/>
        <v>0</v>
      </c>
      <c r="K120" s="90">
        <f t="shared" si="39"/>
        <v>0</v>
      </c>
      <c r="L120" s="92" t="e">
        <f t="shared" si="40"/>
        <v>#DIV/0!</v>
      </c>
      <c r="M120" s="324"/>
      <c r="N120" s="325"/>
      <c r="O120" s="325"/>
      <c r="P120" s="326"/>
      <c r="Q120" s="62"/>
      <c r="R120" s="62"/>
      <c r="S120" s="94"/>
      <c r="T120" s="32" t="s">
        <v>59</v>
      </c>
      <c r="U120" s="91">
        <f t="shared" si="41"/>
        <v>0</v>
      </c>
      <c r="V120" s="90">
        <f t="shared" si="42"/>
        <v>0</v>
      </c>
      <c r="W120" s="92" t="e">
        <f t="shared" si="43"/>
        <v>#DIV/0!</v>
      </c>
    </row>
    <row r="121" spans="1:23" ht="15" thickBot="1" x14ac:dyDescent="0.4">
      <c r="A121" s="490" t="s">
        <v>312</v>
      </c>
      <c r="B121" s="510"/>
      <c r="C121" s="156">
        <f>C119+C120</f>
        <v>10</v>
      </c>
      <c r="D121" s="156">
        <f t="shared" ref="D121" si="45">D119+D120</f>
        <v>4</v>
      </c>
      <c r="E121" s="156">
        <f t="shared" ref="E121" si="46">E119+E120</f>
        <v>3</v>
      </c>
      <c r="F121" s="156">
        <f t="shared" ref="F121" si="47">F119+F120</f>
        <v>1</v>
      </c>
      <c r="G121" s="509"/>
      <c r="H121" s="490" t="s">
        <v>312</v>
      </c>
      <c r="I121" s="511"/>
      <c r="J121" s="91">
        <f t="shared" si="38"/>
        <v>10</v>
      </c>
      <c r="K121" s="90">
        <f t="shared" si="39"/>
        <v>17</v>
      </c>
      <c r="L121" s="92">
        <f t="shared" si="40"/>
        <v>0.58823529411764708</v>
      </c>
      <c r="M121" s="327"/>
      <c r="N121" s="328"/>
      <c r="O121" s="328"/>
      <c r="P121" s="329"/>
      <c r="Q121" s="122"/>
      <c r="R121" s="122"/>
      <c r="S121" s="490" t="s">
        <v>312</v>
      </c>
      <c r="T121" s="511"/>
      <c r="U121" s="91">
        <f t="shared" si="41"/>
        <v>2.5</v>
      </c>
      <c r="V121" s="90">
        <f t="shared" si="42"/>
        <v>4.25</v>
      </c>
      <c r="W121" s="92">
        <f t="shared" si="43"/>
        <v>0.58823529411764708</v>
      </c>
    </row>
    <row r="123" spans="1:23" ht="15" thickBot="1" x14ac:dyDescent="0.4"/>
    <row r="124" spans="1:23" ht="26.5" thickBot="1" x14ac:dyDescent="0.4">
      <c r="A124" s="514" t="s">
        <v>426</v>
      </c>
      <c r="B124" s="515"/>
      <c r="C124" s="515"/>
      <c r="D124" s="515"/>
      <c r="E124" s="515"/>
      <c r="F124" s="515"/>
      <c r="G124" s="121"/>
      <c r="H124" s="425" t="s">
        <v>333</v>
      </c>
      <c r="I124" s="425"/>
      <c r="J124" s="425"/>
      <c r="K124" s="425"/>
      <c r="L124" s="425"/>
      <c r="M124" s="309"/>
      <c r="N124" s="309"/>
      <c r="O124" s="309"/>
      <c r="P124" s="309"/>
      <c r="Q124" s="121"/>
      <c r="R124" s="124" t="s">
        <v>335</v>
      </c>
      <c r="S124" s="425" t="s">
        <v>334</v>
      </c>
      <c r="T124" s="425"/>
      <c r="U124" s="425"/>
      <c r="V124" s="425"/>
      <c r="W124" s="426"/>
    </row>
    <row r="125" spans="1:23" ht="29.5" thickBot="1" x14ac:dyDescent="0.4">
      <c r="A125" s="403" t="s">
        <v>5</v>
      </c>
      <c r="B125" s="512"/>
      <c r="C125" s="118" t="s">
        <v>33</v>
      </c>
      <c r="D125" s="118" t="s">
        <v>20</v>
      </c>
      <c r="E125" s="118" t="s">
        <v>10</v>
      </c>
      <c r="F125" s="118" t="s">
        <v>277</v>
      </c>
      <c r="G125" s="62"/>
      <c r="H125" s="513" t="s">
        <v>5</v>
      </c>
      <c r="I125" s="421"/>
      <c r="J125" s="93" t="s">
        <v>33</v>
      </c>
      <c r="K125" s="119" t="s">
        <v>326</v>
      </c>
      <c r="L125" s="120" t="s">
        <v>150</v>
      </c>
      <c r="M125" s="310"/>
      <c r="N125" s="320" t="s">
        <v>33</v>
      </c>
      <c r="O125" s="320" t="s">
        <v>326</v>
      </c>
      <c r="P125" s="321" t="s">
        <v>150</v>
      </c>
      <c r="Q125" s="62"/>
      <c r="R125" s="125">
        <f>'Matchs joués'!B8</f>
        <v>4</v>
      </c>
      <c r="S125" s="513" t="s">
        <v>5</v>
      </c>
      <c r="T125" s="421"/>
      <c r="U125" s="93" t="s">
        <v>33</v>
      </c>
      <c r="V125" s="119" t="s">
        <v>326</v>
      </c>
      <c r="W125" s="120" t="s">
        <v>150</v>
      </c>
    </row>
    <row r="126" spans="1:23" ht="15" thickBot="1" x14ac:dyDescent="0.4">
      <c r="A126" s="407" t="s">
        <v>295</v>
      </c>
      <c r="B126" s="87" t="s">
        <v>15</v>
      </c>
      <c r="C126" s="152">
        <f>COUNTIFS('Données brutes'!F:F,"But",'Données brutes'!E:E,"PHELLYS",'Données brutes'!G:G,"ALG")</f>
        <v>0</v>
      </c>
      <c r="D126" s="90">
        <f>COUNTIFS('Données brutes'!F:F,"Ar GB",'Données brutes'!E:E,"PHELLYS",'Données brutes'!G:G,"ALG")</f>
        <v>0</v>
      </c>
      <c r="E126" s="90">
        <f>COUNTIFS('Données brutes'!F:F,"HC",'Données brutes'!E:E,"PHELLYS",'Données brutes'!G:G,"ALG")</f>
        <v>0</v>
      </c>
      <c r="F126" s="90">
        <f>COUNTIFS('Données brutes'!F:F,"tir raté NC",'Données brutes'!E:E,"PHELLYS",'Données brutes'!G:G,"ALG")</f>
        <v>0</v>
      </c>
      <c r="G126" s="121"/>
      <c r="H126" s="407" t="s">
        <v>295</v>
      </c>
      <c r="I126" s="32" t="s">
        <v>15</v>
      </c>
      <c r="J126" s="91">
        <f>$C126</f>
        <v>0</v>
      </c>
      <c r="K126" s="90">
        <f>$C126+$D126+$E126</f>
        <v>0</v>
      </c>
      <c r="L126" s="92" t="e">
        <f>J126/K126</f>
        <v>#DIV/0!</v>
      </c>
      <c r="M126" s="404" t="s">
        <v>295</v>
      </c>
      <c r="N126" s="496" t="s">
        <v>394</v>
      </c>
      <c r="O126" s="496"/>
      <c r="P126" s="497"/>
      <c r="Q126" s="62"/>
      <c r="R126" s="62"/>
      <c r="S126" s="407" t="s">
        <v>295</v>
      </c>
      <c r="T126" s="32" t="s">
        <v>15</v>
      </c>
      <c r="U126" s="91">
        <f>$J126/$R$2</f>
        <v>0</v>
      </c>
      <c r="V126" s="90">
        <f>$K126/$R$2</f>
        <v>0</v>
      </c>
      <c r="W126" s="92" t="e">
        <f>U126/V126</f>
        <v>#DIV/0!</v>
      </c>
    </row>
    <row r="127" spans="1:23" ht="15" thickBot="1" x14ac:dyDescent="0.4">
      <c r="A127" s="404"/>
      <c r="B127" s="13" t="s">
        <v>282</v>
      </c>
      <c r="C127" s="153">
        <f>COUNTIFS('Données brutes'!F:F,"But",'Données brutes'!E:E,"PHELLYS",'Données brutes'!G:G,"1 2")</f>
        <v>8</v>
      </c>
      <c r="D127" s="61">
        <f>COUNTIFS('Données brutes'!F:F,"Ar GB",'Données brutes'!E:E,"PHELLYS",'Données brutes'!G:G,"1 2")</f>
        <v>0</v>
      </c>
      <c r="E127" s="61">
        <f>COUNTIFS('Données brutes'!F:F,"HC",'Données brutes'!E:E,"PHELLYS",'Données brutes'!G:G,"1 2")</f>
        <v>0</v>
      </c>
      <c r="F127" s="90">
        <f>COUNTIFS('Données brutes'!F:F,"tir raté NC",'Données brutes'!E:E,"PHELLYS",'Données brutes'!G:G,"1 2")</f>
        <v>0</v>
      </c>
      <c r="G127" s="62"/>
      <c r="H127" s="404"/>
      <c r="I127" s="33" t="s">
        <v>282</v>
      </c>
      <c r="J127" s="91">
        <f t="shared" ref="J127:J146" si="48">$C127</f>
        <v>8</v>
      </c>
      <c r="K127" s="90">
        <f t="shared" ref="K127:K146" si="49">$C127+$D127+$E127</f>
        <v>8</v>
      </c>
      <c r="L127" s="92">
        <f t="shared" ref="L127:L146" si="50">J127/K127</f>
        <v>1</v>
      </c>
      <c r="M127" s="404"/>
      <c r="N127" s="319">
        <f>J126+J132</f>
        <v>0</v>
      </c>
      <c r="O127" s="319">
        <f>K126+K132</f>
        <v>0</v>
      </c>
      <c r="P127" s="322" t="e">
        <f>N127/O127</f>
        <v>#DIV/0!</v>
      </c>
      <c r="Q127" s="62"/>
      <c r="R127" s="62"/>
      <c r="S127" s="404"/>
      <c r="T127" s="33" t="s">
        <v>282</v>
      </c>
      <c r="U127" s="91">
        <f t="shared" ref="U127:U146" si="51">$J127/$R$2</f>
        <v>2</v>
      </c>
      <c r="V127" s="90">
        <f t="shared" ref="V127:V146" si="52">$K127/$R$2</f>
        <v>2</v>
      </c>
      <c r="W127" s="92">
        <f t="shared" ref="W127:W146" si="53">U127/V127</f>
        <v>1</v>
      </c>
    </row>
    <row r="128" spans="1:23" ht="15" thickBot="1" x14ac:dyDescent="0.4">
      <c r="A128" s="404"/>
      <c r="B128" s="13" t="s">
        <v>297</v>
      </c>
      <c r="C128" s="153">
        <f>COUNTIFS('Données brutes'!F:F,"But",'Données brutes'!E:E,"PHELLYS",'Données brutes'!G:G,"2 3")</f>
        <v>1</v>
      </c>
      <c r="D128" s="61">
        <f>COUNTIFS('Données brutes'!F:F,"Ar GB",'Données brutes'!E:E,"PHELLYS",'Données brutes'!G:G,"2 3")</f>
        <v>0</v>
      </c>
      <c r="E128" s="61">
        <f>COUNTIFS('Données brutes'!F:F,"HC",'Données brutes'!E:E,"PHELLYS",'Données brutes'!G:G,"2 3")</f>
        <v>0</v>
      </c>
      <c r="F128" s="90">
        <f>COUNTIFS('Données brutes'!F:F,"tir raté NC",'Données brutes'!E:E,"PHELLYS",'Données brutes'!G:G,"2 3")</f>
        <v>0</v>
      </c>
      <c r="G128" s="62"/>
      <c r="H128" s="404"/>
      <c r="I128" s="33" t="s">
        <v>297</v>
      </c>
      <c r="J128" s="91">
        <f t="shared" si="48"/>
        <v>1</v>
      </c>
      <c r="K128" s="90">
        <f t="shared" si="49"/>
        <v>1</v>
      </c>
      <c r="L128" s="92">
        <f t="shared" si="50"/>
        <v>1</v>
      </c>
      <c r="M128" s="404"/>
      <c r="N128" s="498" t="s">
        <v>395</v>
      </c>
      <c r="O128" s="498"/>
      <c r="P128" s="499"/>
      <c r="Q128" s="62"/>
      <c r="R128" s="62"/>
      <c r="S128" s="404"/>
      <c r="T128" s="33" t="s">
        <v>297</v>
      </c>
      <c r="U128" s="91">
        <f t="shared" si="51"/>
        <v>0.25</v>
      </c>
      <c r="V128" s="90">
        <f t="shared" si="52"/>
        <v>0.25</v>
      </c>
      <c r="W128" s="92">
        <f t="shared" si="53"/>
        <v>1</v>
      </c>
    </row>
    <row r="129" spans="1:23" ht="15" thickBot="1" x14ac:dyDescent="0.4">
      <c r="A129" s="404"/>
      <c r="B129" s="13" t="s">
        <v>296</v>
      </c>
      <c r="C129" s="153">
        <f>COUNTIFS('Données brutes'!F:F,"But",'Données brutes'!E:E,"PHELLYS",'Données brutes'!G:G,"3 4")</f>
        <v>0</v>
      </c>
      <c r="D129" s="61">
        <f>COUNTIFS('Données brutes'!F:F,"Ar GB",'Données brutes'!E:E,"PHELLYS",'Données brutes'!G:G,"3 4")</f>
        <v>0</v>
      </c>
      <c r="E129" s="61">
        <f>COUNTIFS('Données brutes'!F:F,"HC",'Données brutes'!E:E,"PHELLYS",'Données brutes'!G:G,"3 4")</f>
        <v>0</v>
      </c>
      <c r="F129" s="90">
        <f>COUNTIFS('Données brutes'!F:F,"tir raté NC",'Données brutes'!E:E,"PHELLYS",'Données brutes'!G:G,"3 4")</f>
        <v>0</v>
      </c>
      <c r="G129" s="62"/>
      <c r="H129" s="404"/>
      <c r="I129" s="33" t="s">
        <v>296</v>
      </c>
      <c r="J129" s="91">
        <f t="shared" si="48"/>
        <v>0</v>
      </c>
      <c r="K129" s="90">
        <f t="shared" si="49"/>
        <v>0</v>
      </c>
      <c r="L129" s="92" t="e">
        <f t="shared" si="50"/>
        <v>#DIV/0!</v>
      </c>
      <c r="M129" s="404"/>
      <c r="N129" s="319">
        <f>J127+J131</f>
        <v>8</v>
      </c>
      <c r="O129" s="319">
        <f>K127+K131</f>
        <v>8</v>
      </c>
      <c r="P129" s="322">
        <f>N129/O129</f>
        <v>1</v>
      </c>
      <c r="Q129" s="62"/>
      <c r="R129" s="62"/>
      <c r="S129" s="404"/>
      <c r="T129" s="33" t="s">
        <v>296</v>
      </c>
      <c r="U129" s="91">
        <f t="shared" si="51"/>
        <v>0</v>
      </c>
      <c r="V129" s="90">
        <f t="shared" si="52"/>
        <v>0</v>
      </c>
      <c r="W129" s="92" t="e">
        <f t="shared" si="53"/>
        <v>#DIV/0!</v>
      </c>
    </row>
    <row r="130" spans="1:23" ht="15" thickBot="1" x14ac:dyDescent="0.4">
      <c r="A130" s="404"/>
      <c r="B130" s="13" t="s">
        <v>298</v>
      </c>
      <c r="C130" s="153">
        <f>COUNTIFS('Données brutes'!F:F,"But",'Données brutes'!E:E,"PHELLYS",'Données brutes'!G:G,"4 5")</f>
        <v>0</v>
      </c>
      <c r="D130" s="61">
        <f>COUNTIFS('Données brutes'!F:F,"Ar GB",'Données brutes'!E:E,"PHELLYS",'Données brutes'!G:G,"4 5")</f>
        <v>0</v>
      </c>
      <c r="E130" s="61">
        <f>COUNTIFS('Données brutes'!F:F,"HC",'Données brutes'!E:E,"PHELLYS",'Données brutes'!G:G,"4 5")</f>
        <v>0</v>
      </c>
      <c r="F130" s="90">
        <f>COUNTIFS('Données brutes'!F:F,"tir raté NC",'Données brutes'!E:E,"PHELLYS",'Données brutes'!G:G,"4 5")</f>
        <v>0</v>
      </c>
      <c r="G130" s="62"/>
      <c r="H130" s="404"/>
      <c r="I130" s="33" t="s">
        <v>298</v>
      </c>
      <c r="J130" s="91">
        <f t="shared" si="48"/>
        <v>0</v>
      </c>
      <c r="K130" s="90">
        <f t="shared" si="49"/>
        <v>0</v>
      </c>
      <c r="L130" s="92" t="e">
        <f t="shared" si="50"/>
        <v>#DIV/0!</v>
      </c>
      <c r="M130" s="404"/>
      <c r="N130" s="498" t="s">
        <v>396</v>
      </c>
      <c r="O130" s="498"/>
      <c r="P130" s="499"/>
      <c r="Q130" s="62"/>
      <c r="R130" s="62"/>
      <c r="S130" s="404"/>
      <c r="T130" s="33" t="s">
        <v>298</v>
      </c>
      <c r="U130" s="91">
        <f t="shared" si="51"/>
        <v>0</v>
      </c>
      <c r="V130" s="90">
        <f t="shared" si="52"/>
        <v>0</v>
      </c>
      <c r="W130" s="92" t="e">
        <f t="shared" si="53"/>
        <v>#DIV/0!</v>
      </c>
    </row>
    <row r="131" spans="1:23" ht="15" thickBot="1" x14ac:dyDescent="0.4">
      <c r="A131" s="404"/>
      <c r="B131" s="13" t="s">
        <v>283</v>
      </c>
      <c r="C131" s="153">
        <f>COUNTIFS('Données brutes'!F:F,"But",'Données brutes'!E:E,"PHELLYS",'Données brutes'!G:G,"5 6")</f>
        <v>0</v>
      </c>
      <c r="D131" s="61">
        <f>COUNTIFS('Données brutes'!F:F,"Ar GB",'Données brutes'!E:E,"PHELLYS",'Données brutes'!G:G,"5 6")</f>
        <v>0</v>
      </c>
      <c r="E131" s="61">
        <f>COUNTIFS('Données brutes'!F:F,"HC",'Données brutes'!E:E,"PHELLYS",'Données brutes'!G:G,"5 6")</f>
        <v>0</v>
      </c>
      <c r="F131" s="90">
        <f>COUNTIFS('Données brutes'!F:F,"tir raté NC",'Données brutes'!E:E,"PHELLYS",'Données brutes'!G:G,"5 6")</f>
        <v>0</v>
      </c>
      <c r="G131" s="62"/>
      <c r="H131" s="404"/>
      <c r="I131" s="33" t="s">
        <v>283</v>
      </c>
      <c r="J131" s="91">
        <f t="shared" si="48"/>
        <v>0</v>
      </c>
      <c r="K131" s="90">
        <f t="shared" si="49"/>
        <v>0</v>
      </c>
      <c r="L131" s="92" t="e">
        <f t="shared" si="50"/>
        <v>#DIV/0!</v>
      </c>
      <c r="M131" s="404"/>
      <c r="N131" s="319">
        <f>J128+J129+J130</f>
        <v>1</v>
      </c>
      <c r="O131" s="319">
        <f>K128+K129+K130</f>
        <v>1</v>
      </c>
      <c r="P131" s="323">
        <f>N131/O131</f>
        <v>1</v>
      </c>
      <c r="Q131" s="62"/>
      <c r="R131" s="62"/>
      <c r="S131" s="404"/>
      <c r="T131" s="33" t="s">
        <v>283</v>
      </c>
      <c r="U131" s="91">
        <f t="shared" si="51"/>
        <v>0</v>
      </c>
      <c r="V131" s="90">
        <f t="shared" si="52"/>
        <v>0</v>
      </c>
      <c r="W131" s="92" t="e">
        <f t="shared" si="53"/>
        <v>#DIV/0!</v>
      </c>
    </row>
    <row r="132" spans="1:23" ht="15" thickBot="1" x14ac:dyDescent="0.4">
      <c r="A132" s="490"/>
      <c r="B132" s="36" t="s">
        <v>17</v>
      </c>
      <c r="C132" s="154">
        <f>COUNTIFS('Données brutes'!F:F,"But",'Données brutes'!E:E,"PHELLYS",'Données brutes'!G:G,"ALD")</f>
        <v>0</v>
      </c>
      <c r="D132" s="155">
        <f>COUNTIFS('Données brutes'!F:F,"Ar GB",'Données brutes'!E:E,"PHELLYS",'Données brutes'!G:G,"ALD")</f>
        <v>0</v>
      </c>
      <c r="E132" s="155">
        <f>COUNTIFS('Données brutes'!F:F,"HC",'Données brutes'!E:E,"PHELLYS",'Données brutes'!G:G,"ALD")</f>
        <v>0</v>
      </c>
      <c r="F132" s="90">
        <f>COUNTIFS('Données brutes'!F:F,"tir raté NC",'Données brutes'!E:E,"PHELLYS",'Données brutes'!G:G,"ALD")</f>
        <v>0</v>
      </c>
      <c r="G132" s="122"/>
      <c r="H132" s="490"/>
      <c r="I132" s="73" t="s">
        <v>17</v>
      </c>
      <c r="J132" s="91">
        <f t="shared" si="48"/>
        <v>0</v>
      </c>
      <c r="K132" s="90">
        <f t="shared" si="49"/>
        <v>0</v>
      </c>
      <c r="L132" s="92" t="e">
        <f t="shared" si="50"/>
        <v>#DIV/0!</v>
      </c>
      <c r="M132" s="404"/>
      <c r="N132" s="325"/>
      <c r="O132" s="325"/>
      <c r="P132" s="326"/>
      <c r="Q132" s="62"/>
      <c r="R132" s="62"/>
      <c r="S132" s="490"/>
      <c r="T132" s="73" t="s">
        <v>17</v>
      </c>
      <c r="U132" s="91">
        <f t="shared" si="51"/>
        <v>0</v>
      </c>
      <c r="V132" s="90">
        <f t="shared" si="52"/>
        <v>0</v>
      </c>
      <c r="W132" s="92" t="e">
        <f t="shared" si="53"/>
        <v>#DIV/0!</v>
      </c>
    </row>
    <row r="133" spans="1:23" ht="15" customHeight="1" thickBot="1" x14ac:dyDescent="0.4">
      <c r="A133" s="491" t="s">
        <v>299</v>
      </c>
      <c r="B133" s="87" t="s">
        <v>301</v>
      </c>
      <c r="C133" s="152">
        <f>COUNTIFS('Données brutes'!F:F,"But",'Données brutes'!E:E,"PHELLYS",'Données brutes'!G:G,"Central 7m 9m appui")</f>
        <v>0</v>
      </c>
      <c r="D133" s="90">
        <f>COUNTIFS('Données brutes'!F:F,"Ar GB",'Données brutes'!E:E,"PHELLYS",'Données brutes'!G:G,"Central 7m 9m appui")</f>
        <v>0</v>
      </c>
      <c r="E133" s="90">
        <f>COUNTIFS('Données brutes'!F:F,"HC",'Données brutes'!E:E,"PHELLYS",'Données brutes'!G:G,"Central 7m 9m appui")</f>
        <v>0</v>
      </c>
      <c r="F133" s="90">
        <f>COUNTIFS('Données brutes'!F:F,"tir raté NC",'Données brutes'!E:E,"PHELLYS",'Données brutes'!G:G,"ALD")</f>
        <v>0</v>
      </c>
      <c r="G133" s="121"/>
      <c r="H133" s="491" t="s">
        <v>299</v>
      </c>
      <c r="I133" s="32" t="s">
        <v>301</v>
      </c>
      <c r="J133" s="91">
        <f t="shared" si="48"/>
        <v>0</v>
      </c>
      <c r="K133" s="90">
        <f t="shared" si="49"/>
        <v>0</v>
      </c>
      <c r="L133" s="92" t="e">
        <f t="shared" si="50"/>
        <v>#DIV/0!</v>
      </c>
      <c r="M133" s="495" t="s">
        <v>299</v>
      </c>
      <c r="N133" s="319">
        <f>SUM(J133:J135)</f>
        <v>1</v>
      </c>
      <c r="O133" s="319">
        <f>SUM(K133:K135)</f>
        <v>1</v>
      </c>
      <c r="P133" s="322">
        <f>N133/O133</f>
        <v>1</v>
      </c>
      <c r="Q133" s="62"/>
      <c r="R133" s="62"/>
      <c r="S133" s="491" t="s">
        <v>299</v>
      </c>
      <c r="T133" s="32" t="s">
        <v>301</v>
      </c>
      <c r="U133" s="91">
        <f t="shared" si="51"/>
        <v>0</v>
      </c>
      <c r="V133" s="90">
        <f t="shared" si="52"/>
        <v>0</v>
      </c>
      <c r="W133" s="92" t="e">
        <f t="shared" si="53"/>
        <v>#DIV/0!</v>
      </c>
    </row>
    <row r="134" spans="1:23" ht="15" thickBot="1" x14ac:dyDescent="0.4">
      <c r="A134" s="495"/>
      <c r="B134" s="13" t="s">
        <v>302</v>
      </c>
      <c r="C134" s="153">
        <f>COUNTIFS('Données brutes'!F:F,"But",'Données brutes'!E:E,"PHELLYS",'Données brutes'!G:G,"7m 9m Ext G appui")</f>
        <v>1</v>
      </c>
      <c r="D134" s="61">
        <f>COUNTIFS('Données brutes'!F:F,"Ar GB",'Données brutes'!E:E,"PHELLYS",'Données brutes'!G:G,"7m 9m Ext G appui")</f>
        <v>0</v>
      </c>
      <c r="E134" s="61">
        <f>COUNTIFS('Données brutes'!F:F,"HC",'Données brutes'!E:E,"PHELLYS",'Données brutes'!G:G,"7m 9m Ext G appui")</f>
        <v>0</v>
      </c>
      <c r="F134" s="90">
        <f>COUNTIFS('Données brutes'!F:F,"tir raté NC",'Données brutes'!E:E,"PHELLYS",'Données brutes'!G:G,"7m 9m Ext G appui")</f>
        <v>0</v>
      </c>
      <c r="G134" s="62"/>
      <c r="H134" s="495"/>
      <c r="I134" s="33" t="s">
        <v>302</v>
      </c>
      <c r="J134" s="91">
        <f t="shared" si="48"/>
        <v>1</v>
      </c>
      <c r="K134" s="90">
        <f t="shared" si="49"/>
        <v>1</v>
      </c>
      <c r="L134" s="92">
        <f t="shared" si="50"/>
        <v>1</v>
      </c>
      <c r="M134" s="495"/>
      <c r="N134" s="325"/>
      <c r="O134" s="325"/>
      <c r="P134" s="326"/>
      <c r="Q134" s="62"/>
      <c r="R134" s="62"/>
      <c r="S134" s="495"/>
      <c r="T134" s="33" t="s">
        <v>302</v>
      </c>
      <c r="U134" s="91">
        <f t="shared" si="51"/>
        <v>0.25</v>
      </c>
      <c r="V134" s="90">
        <f t="shared" si="52"/>
        <v>0.25</v>
      </c>
      <c r="W134" s="92">
        <f t="shared" si="53"/>
        <v>1</v>
      </c>
    </row>
    <row r="135" spans="1:23" ht="15" thickBot="1" x14ac:dyDescent="0.4">
      <c r="A135" s="492"/>
      <c r="B135" s="36" t="s">
        <v>303</v>
      </c>
      <c r="C135" s="154">
        <f>COUNTIFS('Données brutes'!F:F,"But",'Données brutes'!E:E,"PHELLYS",'Données brutes'!G:G,"7m 9m Ext D appui")</f>
        <v>0</v>
      </c>
      <c r="D135" s="155">
        <f>COUNTIFS('Données brutes'!F:F,"Ar GB",'Données brutes'!E:E,"PHELLYS",'Données brutes'!G:G,"7m 9m Ext D appui")</f>
        <v>0</v>
      </c>
      <c r="E135" s="155">
        <f>COUNTIFS('Données brutes'!F:F,"HC",'Données brutes'!E:E,"PHELLYS",'Données brutes'!G:G,"7m 9m Ext D appui")</f>
        <v>0</v>
      </c>
      <c r="F135" s="90">
        <f>COUNTIFS('Données brutes'!F:F,"tir raté NC",'Données brutes'!E:E,"PHELLYS",'Données brutes'!G:G,"ALD")</f>
        <v>0</v>
      </c>
      <c r="G135" s="122"/>
      <c r="H135" s="492"/>
      <c r="I135" s="73" t="s">
        <v>303</v>
      </c>
      <c r="J135" s="91">
        <f t="shared" si="48"/>
        <v>0</v>
      </c>
      <c r="K135" s="90">
        <f t="shared" si="49"/>
        <v>0</v>
      </c>
      <c r="L135" s="92" t="e">
        <f t="shared" si="50"/>
        <v>#DIV/0!</v>
      </c>
      <c r="M135" s="495"/>
      <c r="N135" s="325"/>
      <c r="O135" s="325"/>
      <c r="P135" s="326"/>
      <c r="Q135" s="62"/>
      <c r="R135" s="62"/>
      <c r="S135" s="492"/>
      <c r="T135" s="73" t="s">
        <v>303</v>
      </c>
      <c r="U135" s="91">
        <f t="shared" si="51"/>
        <v>0</v>
      </c>
      <c r="V135" s="90">
        <f t="shared" si="52"/>
        <v>0</v>
      </c>
      <c r="W135" s="92" t="e">
        <f t="shared" si="53"/>
        <v>#DIV/0!</v>
      </c>
    </row>
    <row r="136" spans="1:23" ht="15" customHeight="1" thickBot="1" x14ac:dyDescent="0.4">
      <c r="A136" s="493" t="s">
        <v>300</v>
      </c>
      <c r="B136" s="87" t="s">
        <v>304</v>
      </c>
      <c r="C136" s="152">
        <f>COUNTIFS('Données brutes'!F:F,"But",'Données brutes'!E:E,"PHELLYS",'Données brutes'!G:G,"7m 9m central suspension")</f>
        <v>3</v>
      </c>
      <c r="D136" s="90">
        <f>COUNTIFS('Données brutes'!F:F,"Ar GB",'Données brutes'!E:E,"PHELLYS",'Données brutes'!G:G,"7m 9m central suspension")</f>
        <v>1</v>
      </c>
      <c r="E136" s="90">
        <f>COUNTIFS('Données brutes'!F:F,"HC",'Données brutes'!E:E,"PHELLYS",'Données brutes'!G:G,"7m 9m central suspension")</f>
        <v>2</v>
      </c>
      <c r="F136" s="90">
        <f>COUNTIFS('Données brutes'!F:F,"tir raté NC",'Données brutes'!E:E,"PHELLYS",'Données brutes'!G:G,"ALD")</f>
        <v>0</v>
      </c>
      <c r="G136" s="121"/>
      <c r="H136" s="493" t="s">
        <v>300</v>
      </c>
      <c r="I136" s="32" t="s">
        <v>304</v>
      </c>
      <c r="J136" s="91">
        <f t="shared" si="48"/>
        <v>3</v>
      </c>
      <c r="K136" s="90">
        <f t="shared" si="49"/>
        <v>6</v>
      </c>
      <c r="L136" s="92">
        <f t="shared" si="50"/>
        <v>0.5</v>
      </c>
      <c r="M136" s="495" t="s">
        <v>300</v>
      </c>
      <c r="N136" s="319">
        <f>SUM(J136:J138)</f>
        <v>3</v>
      </c>
      <c r="O136" s="319">
        <f>SUM(K136:K138)</f>
        <v>6</v>
      </c>
      <c r="P136" s="322">
        <f>N136/O136</f>
        <v>0.5</v>
      </c>
      <c r="Q136" s="62"/>
      <c r="R136" s="62"/>
      <c r="S136" s="493" t="s">
        <v>300</v>
      </c>
      <c r="T136" s="32" t="s">
        <v>304</v>
      </c>
      <c r="U136" s="91">
        <f t="shared" si="51"/>
        <v>0.75</v>
      </c>
      <c r="V136" s="90">
        <f t="shared" si="52"/>
        <v>1.5</v>
      </c>
      <c r="W136" s="92">
        <f t="shared" si="53"/>
        <v>0.5</v>
      </c>
    </row>
    <row r="137" spans="1:23" ht="15" thickBot="1" x14ac:dyDescent="0.4">
      <c r="A137" s="506"/>
      <c r="B137" s="13" t="s">
        <v>305</v>
      </c>
      <c r="C137" s="153">
        <f>COUNTIFS('Données brutes'!F:F,"But",'Données brutes'!E:E,"PHELLYS",'Données brutes'!G:G,"7m 9m Ext G suspension")</f>
        <v>0</v>
      </c>
      <c r="D137" s="61">
        <f>COUNTIFS('Données brutes'!F:F,"Ar GB",'Données brutes'!E:E,"PHELLYS",'Données brutes'!G:G,"7m 9m Ext G suspension")</f>
        <v>0</v>
      </c>
      <c r="E137" s="61">
        <f>COUNTIFS('Données brutes'!F:F,"HC",'Données brutes'!E:E,"PHELLYS",'Données brutes'!G:G,"7m 9m Ext G suspension")</f>
        <v>0</v>
      </c>
      <c r="F137" s="90">
        <f>COUNTIFS('Données brutes'!F:F,"tir raté NC",'Données brutes'!E:E,"PHELLYS",'Données brutes'!G:G,"ALD")</f>
        <v>0</v>
      </c>
      <c r="G137" s="62"/>
      <c r="H137" s="506"/>
      <c r="I137" s="33" t="s">
        <v>305</v>
      </c>
      <c r="J137" s="91">
        <f t="shared" si="48"/>
        <v>0</v>
      </c>
      <c r="K137" s="90">
        <f t="shared" si="49"/>
        <v>0</v>
      </c>
      <c r="L137" s="92" t="e">
        <f t="shared" si="50"/>
        <v>#DIV/0!</v>
      </c>
      <c r="M137" s="495"/>
      <c r="N137" s="325"/>
      <c r="O137" s="325"/>
      <c r="P137" s="326"/>
      <c r="Q137" s="62"/>
      <c r="R137" s="62"/>
      <c r="S137" s="506"/>
      <c r="T137" s="33" t="s">
        <v>305</v>
      </c>
      <c r="U137" s="91">
        <f t="shared" si="51"/>
        <v>0</v>
      </c>
      <c r="V137" s="90">
        <f t="shared" si="52"/>
        <v>0</v>
      </c>
      <c r="W137" s="92" t="e">
        <f t="shared" si="53"/>
        <v>#DIV/0!</v>
      </c>
    </row>
    <row r="138" spans="1:23" ht="15" thickBot="1" x14ac:dyDescent="0.4">
      <c r="A138" s="494"/>
      <c r="B138" s="36" t="s">
        <v>306</v>
      </c>
      <c r="C138" s="153">
        <f>COUNTIFS('Données brutes'!F:F,"But",'Données brutes'!E:E,"PHELLYS",'Données brutes'!G:G,"7m 9m Ext D suspension")</f>
        <v>0</v>
      </c>
      <c r="D138" s="61">
        <f>COUNTIFS('Données brutes'!F:F,"Ar GB",'Données brutes'!E:E,"PHELLYS",'Données brutes'!G:G,"7m 9m Ext D suspension")</f>
        <v>0</v>
      </c>
      <c r="E138" s="61">
        <f>COUNTIFS('Données brutes'!F:F,"HC",'Données brutes'!E:E,"PHELLYS",'Données brutes'!G:G,"7m 9m Ext D suspension")</f>
        <v>0</v>
      </c>
      <c r="F138" s="90">
        <f>COUNTIFS('Données brutes'!F:F,"tir raté NC",'Données brutes'!E:E,"PHELLYS",'Données brutes'!G:G,"7m 9m Ext D suspension")</f>
        <v>0</v>
      </c>
      <c r="G138" s="122"/>
      <c r="H138" s="494"/>
      <c r="I138" s="73" t="s">
        <v>306</v>
      </c>
      <c r="J138" s="91">
        <f t="shared" si="48"/>
        <v>0</v>
      </c>
      <c r="K138" s="90">
        <f t="shared" si="49"/>
        <v>0</v>
      </c>
      <c r="L138" s="92" t="e">
        <f t="shared" si="50"/>
        <v>#DIV/0!</v>
      </c>
      <c r="M138" s="495"/>
      <c r="N138" s="325"/>
      <c r="O138" s="325"/>
      <c r="P138" s="326"/>
      <c r="Q138" s="62"/>
      <c r="R138" s="62"/>
      <c r="S138" s="494"/>
      <c r="T138" s="73" t="s">
        <v>306</v>
      </c>
      <c r="U138" s="91">
        <f t="shared" si="51"/>
        <v>0</v>
      </c>
      <c r="V138" s="90">
        <f t="shared" si="52"/>
        <v>0</v>
      </c>
      <c r="W138" s="92" t="e">
        <f t="shared" si="53"/>
        <v>#DIV/0!</v>
      </c>
    </row>
    <row r="139" spans="1:23" ht="15" thickBot="1" x14ac:dyDescent="0.4">
      <c r="A139" s="407" t="s">
        <v>146</v>
      </c>
      <c r="B139" s="87" t="s">
        <v>307</v>
      </c>
      <c r="C139" s="152">
        <f>COUNTIFS('Données brutes'!F:F,"But",'Données brutes'!E:E,"PHELLYS",'Données brutes'!G:G,"9m G")</f>
        <v>0</v>
      </c>
      <c r="D139" s="90">
        <f>COUNTIFS('Données brutes'!F:F,"Ar GB",'Données brutes'!E:E,"PHELLYS",'Données brutes'!G:G,"9m G")</f>
        <v>0</v>
      </c>
      <c r="E139" s="90">
        <f>COUNTIFS('Données brutes'!F:F,"HC",'Données brutes'!E:E,"PHELLYS",'Données brutes'!G:G,"9m G")</f>
        <v>1</v>
      </c>
      <c r="F139" s="90">
        <f>COUNTIFS('Données brutes'!F:F,"tir raté NC",'Données brutes'!E:E,"PHELLYS",'Données brutes'!G:G,"9m G")</f>
        <v>0</v>
      </c>
      <c r="G139" s="121"/>
      <c r="H139" s="407" t="s">
        <v>146</v>
      </c>
      <c r="I139" s="32" t="s">
        <v>307</v>
      </c>
      <c r="J139" s="91">
        <f t="shared" si="48"/>
        <v>0</v>
      </c>
      <c r="K139" s="90">
        <f t="shared" si="49"/>
        <v>1</v>
      </c>
      <c r="L139" s="92">
        <f t="shared" si="50"/>
        <v>0</v>
      </c>
      <c r="M139" s="404" t="s">
        <v>146</v>
      </c>
      <c r="N139" s="319">
        <f>SUM(J139:J141)</f>
        <v>2</v>
      </c>
      <c r="O139" s="319">
        <f>SUM(K139:K141)</f>
        <v>8</v>
      </c>
      <c r="P139" s="322">
        <f>N139/O139</f>
        <v>0.25</v>
      </c>
      <c r="Q139" s="62"/>
      <c r="R139" s="62"/>
      <c r="S139" s="407" t="s">
        <v>146</v>
      </c>
      <c r="T139" s="32" t="s">
        <v>307</v>
      </c>
      <c r="U139" s="91">
        <f t="shared" si="51"/>
        <v>0</v>
      </c>
      <c r="V139" s="90">
        <f t="shared" si="52"/>
        <v>0.25</v>
      </c>
      <c r="W139" s="92">
        <f t="shared" si="53"/>
        <v>0</v>
      </c>
    </row>
    <row r="140" spans="1:23" ht="15" thickBot="1" x14ac:dyDescent="0.4">
      <c r="A140" s="404"/>
      <c r="B140" s="13" t="s">
        <v>308</v>
      </c>
      <c r="C140" s="152">
        <f>COUNTIFS('Données brutes'!F:F,"But",'Données brutes'!E:E,"PHELLYS",'Données brutes'!G:G,"9m +")</f>
        <v>2</v>
      </c>
      <c r="D140" s="90">
        <f>COUNTIFS('Données brutes'!F:F,"Ar GB",'Données brutes'!E:E,"PHELLYS",'Données brutes'!G:G,"9m +")</f>
        <v>2</v>
      </c>
      <c r="E140" s="90">
        <f>COUNTIFS('Données brutes'!F:F,"HC",'Données brutes'!E:E,"PHELLYS",'Données brutes'!G:G,"9m +")</f>
        <v>3</v>
      </c>
      <c r="F140" s="90">
        <f>COUNTIFS('Données brutes'!F:F,"tir raté NC",'Données brutes'!E:E,"PHELLYS",'Données brutes'!G:G,"9m +")</f>
        <v>0</v>
      </c>
      <c r="G140" s="62"/>
      <c r="H140" s="404"/>
      <c r="I140" s="33" t="s">
        <v>308</v>
      </c>
      <c r="J140" s="91">
        <f t="shared" si="48"/>
        <v>2</v>
      </c>
      <c r="K140" s="90">
        <f t="shared" si="49"/>
        <v>7</v>
      </c>
      <c r="L140" s="92">
        <f t="shared" si="50"/>
        <v>0.2857142857142857</v>
      </c>
      <c r="M140" s="404"/>
      <c r="N140" s="325"/>
      <c r="O140" s="325"/>
      <c r="P140" s="326"/>
      <c r="Q140" s="62"/>
      <c r="R140" s="62"/>
      <c r="S140" s="404"/>
      <c r="T140" s="33" t="s">
        <v>308</v>
      </c>
      <c r="U140" s="91">
        <f t="shared" si="51"/>
        <v>0.5</v>
      </c>
      <c r="V140" s="90">
        <f t="shared" si="52"/>
        <v>1.75</v>
      </c>
      <c r="W140" s="92">
        <f t="shared" si="53"/>
        <v>0.2857142857142857</v>
      </c>
    </row>
    <row r="141" spans="1:23" ht="15" thickBot="1" x14ac:dyDescent="0.4">
      <c r="A141" s="490"/>
      <c r="B141" s="36" t="s">
        <v>309</v>
      </c>
      <c r="C141" s="152">
        <f>COUNTIFS('Données brutes'!F:F,"But",'Données brutes'!E:E,"PHELLYS",'Données brutes'!G:G,"9m D")</f>
        <v>0</v>
      </c>
      <c r="D141" s="90">
        <f>COUNTIFS('Données brutes'!F:F,"Ar GB",'Données brutes'!E:E,"PHELLYS",'Données brutes'!G:G,"9m D")</f>
        <v>0</v>
      </c>
      <c r="E141" s="90">
        <f>COUNTIFS('Données brutes'!F:F,"HC",'Données brutes'!E:E,"PHELLYS",'Données brutes'!G:G,"9m D")</f>
        <v>0</v>
      </c>
      <c r="F141" s="90">
        <f>COUNTIFS('Données brutes'!F:F,"tir raté NC",'Données brutes'!E:E,"PHELLYS",'Données brutes'!G:G,"9m D")</f>
        <v>0</v>
      </c>
      <c r="G141" s="122"/>
      <c r="H141" s="490"/>
      <c r="I141" s="73" t="s">
        <v>309</v>
      </c>
      <c r="J141" s="91">
        <f t="shared" si="48"/>
        <v>0</v>
      </c>
      <c r="K141" s="90">
        <f t="shared" si="49"/>
        <v>0</v>
      </c>
      <c r="L141" s="92" t="e">
        <f t="shared" si="50"/>
        <v>#DIV/0!</v>
      </c>
      <c r="M141" s="404"/>
      <c r="N141" s="325"/>
      <c r="O141" s="325"/>
      <c r="P141" s="326"/>
      <c r="Q141" s="62"/>
      <c r="R141" s="62"/>
      <c r="S141" s="490"/>
      <c r="T141" s="73" t="s">
        <v>309</v>
      </c>
      <c r="U141" s="91">
        <f t="shared" si="51"/>
        <v>0</v>
      </c>
      <c r="V141" s="90">
        <f t="shared" si="52"/>
        <v>0</v>
      </c>
      <c r="W141" s="92" t="e">
        <f t="shared" si="53"/>
        <v>#DIV/0!</v>
      </c>
    </row>
    <row r="142" spans="1:23" ht="15" customHeight="1" thickBot="1" x14ac:dyDescent="0.4">
      <c r="A142" s="493" t="s">
        <v>310</v>
      </c>
      <c r="B142" s="87" t="s">
        <v>22</v>
      </c>
      <c r="C142" s="152">
        <f>COUNTIFS('Données brutes'!F:F,"But",'Données brutes'!E:E,"PHELLYS",'Données brutes'!G:G,"But vide")</f>
        <v>0</v>
      </c>
      <c r="D142" s="90">
        <f>COUNTIFS('Données brutes'!F:F,"Ar GB",'Données brutes'!E:E,"PHELLYS",'Données brutes'!G:G,"But vide")</f>
        <v>0</v>
      </c>
      <c r="E142" s="90">
        <f>COUNTIFS('Données brutes'!F:F,"HC",'Données brutes'!E:E,"PHELLYS",'Données brutes'!G:G,"But vide")</f>
        <v>0</v>
      </c>
      <c r="F142" s="90">
        <f>COUNTIFS('Données brutes'!F:F,"tir raté NC",'Données brutes'!E:E,"PHELLYS",'Données brutes'!G:G,"But vide")</f>
        <v>0</v>
      </c>
      <c r="G142" s="121"/>
      <c r="H142" s="493" t="s">
        <v>310</v>
      </c>
      <c r="I142" s="32" t="s">
        <v>22</v>
      </c>
      <c r="J142" s="91">
        <f t="shared" si="48"/>
        <v>0</v>
      </c>
      <c r="K142" s="90">
        <f t="shared" si="49"/>
        <v>0</v>
      </c>
      <c r="L142" s="92" t="e">
        <f t="shared" si="50"/>
        <v>#DIV/0!</v>
      </c>
      <c r="M142" s="495" t="s">
        <v>310</v>
      </c>
      <c r="N142" s="319">
        <f>J142+J143</f>
        <v>0</v>
      </c>
      <c r="O142" s="319">
        <f>K142+K143</f>
        <v>0</v>
      </c>
      <c r="P142" s="322" t="e">
        <f>N142/O142</f>
        <v>#DIV/0!</v>
      </c>
      <c r="Q142" s="62"/>
      <c r="R142" s="62"/>
      <c r="S142" s="493" t="s">
        <v>310</v>
      </c>
      <c r="T142" s="32" t="s">
        <v>22</v>
      </c>
      <c r="U142" s="91">
        <f t="shared" si="51"/>
        <v>0</v>
      </c>
      <c r="V142" s="90">
        <f t="shared" si="52"/>
        <v>0</v>
      </c>
      <c r="W142" s="92" t="e">
        <f t="shared" si="53"/>
        <v>#DIV/0!</v>
      </c>
    </row>
    <row r="143" spans="1:23" ht="15" thickBot="1" x14ac:dyDescent="0.4">
      <c r="A143" s="494"/>
      <c r="B143" s="36" t="s">
        <v>12</v>
      </c>
      <c r="C143" s="152">
        <f>COUNTIFS('Données brutes'!F:F,"But",'Données brutes'!E:E,"PHELLYS",'Données brutes'!G:G,"CA MB")</f>
        <v>0</v>
      </c>
      <c r="D143" s="90">
        <f>COUNTIFS('Données brutes'!F:F,"Ar GB",'Données brutes'!E:E,"PHELLYS",'Données brutes'!G:G,"CA MB")</f>
        <v>0</v>
      </c>
      <c r="E143" s="90">
        <f>COUNTIFS('Données brutes'!F:F,"HC",'Données brutes'!E:E,"PHELLYS",'Données brutes'!G:G,"CA MB")</f>
        <v>0</v>
      </c>
      <c r="F143" s="90">
        <f>COUNTIFS('Données brutes'!F:F,"tir raté NC",'Données brutes'!E:E,"PHELLYS",'Données brutes'!G:G,"CA MB")</f>
        <v>0</v>
      </c>
      <c r="G143" s="122"/>
      <c r="H143" s="494"/>
      <c r="I143" s="73" t="s">
        <v>12</v>
      </c>
      <c r="J143" s="91">
        <f t="shared" si="48"/>
        <v>0</v>
      </c>
      <c r="K143" s="90">
        <f t="shared" si="49"/>
        <v>0</v>
      </c>
      <c r="L143" s="92" t="e">
        <f t="shared" si="50"/>
        <v>#DIV/0!</v>
      </c>
      <c r="M143" s="495"/>
      <c r="N143" s="325"/>
      <c r="O143" s="325"/>
      <c r="P143" s="326"/>
      <c r="Q143" s="62"/>
      <c r="R143" s="62"/>
      <c r="S143" s="494"/>
      <c r="T143" s="73" t="s">
        <v>12</v>
      </c>
      <c r="U143" s="91">
        <f t="shared" si="51"/>
        <v>0</v>
      </c>
      <c r="V143" s="90">
        <f t="shared" si="52"/>
        <v>0</v>
      </c>
      <c r="W143" s="92" t="e">
        <f t="shared" si="53"/>
        <v>#DIV/0!</v>
      </c>
    </row>
    <row r="144" spans="1:23" ht="15" thickBot="1" x14ac:dyDescent="0.4">
      <c r="A144" s="488" t="s">
        <v>311</v>
      </c>
      <c r="B144" s="507"/>
      <c r="C144" s="156">
        <f>SUM(C126:C143)</f>
        <v>15</v>
      </c>
      <c r="D144" s="157">
        <f t="shared" ref="D144:E144" si="54">SUM(D126:D143)</f>
        <v>3</v>
      </c>
      <c r="E144" s="157">
        <f t="shared" si="54"/>
        <v>6</v>
      </c>
      <c r="F144" s="157">
        <f>SUM(F126:F139)</f>
        <v>0</v>
      </c>
      <c r="G144" s="123"/>
      <c r="H144" s="488" t="s">
        <v>311</v>
      </c>
      <c r="I144" s="489"/>
      <c r="J144" s="91">
        <f t="shared" si="48"/>
        <v>15</v>
      </c>
      <c r="K144" s="90">
        <f t="shared" si="49"/>
        <v>24</v>
      </c>
      <c r="L144" s="92">
        <f t="shared" si="50"/>
        <v>0.625</v>
      </c>
      <c r="M144" s="324"/>
      <c r="N144" s="325"/>
      <c r="O144" s="325"/>
      <c r="P144" s="326"/>
      <c r="Q144" s="62"/>
      <c r="R144" s="62"/>
      <c r="S144" s="488" t="s">
        <v>311</v>
      </c>
      <c r="T144" s="489"/>
      <c r="U144" s="91">
        <f t="shared" si="51"/>
        <v>3.75</v>
      </c>
      <c r="V144" s="90">
        <f t="shared" si="52"/>
        <v>6</v>
      </c>
      <c r="W144" s="92">
        <f t="shared" si="53"/>
        <v>0.625</v>
      </c>
    </row>
    <row r="145" spans="1:23" ht="15" thickBot="1" x14ac:dyDescent="0.4">
      <c r="A145" s="94"/>
      <c r="B145" s="87" t="s">
        <v>59</v>
      </c>
      <c r="C145" s="152">
        <f>COUNTIFS('Données brutes'!F:F,"But",'Données brutes'!E:E,"PHELLYS",'Données brutes'!G:G,"Jet 7m")</f>
        <v>0</v>
      </c>
      <c r="D145" s="90">
        <f>COUNTIFS('Données brutes'!F:F,"Ar GB",'Données brutes'!E:E,"PHELLYS",'Données brutes'!G:G,"Jet 7m")</f>
        <v>0</v>
      </c>
      <c r="E145" s="90">
        <f>COUNTIFS('Données brutes'!F:F,"HC",'Données brutes'!E:E,"PHELLYS",'Données brutes'!G:G,"Jet 7m")</f>
        <v>0</v>
      </c>
      <c r="F145" s="90">
        <f>COUNTIFS('Données brutes'!F:F,"tir raté NC",'Données brutes'!E:E,"PHELLYS",'Données brutes'!G:G,"Jet 7m")</f>
        <v>0</v>
      </c>
      <c r="G145" s="508"/>
      <c r="H145" s="94"/>
      <c r="I145" s="32" t="s">
        <v>59</v>
      </c>
      <c r="J145" s="91">
        <f t="shared" si="48"/>
        <v>0</v>
      </c>
      <c r="K145" s="90">
        <f t="shared" si="49"/>
        <v>0</v>
      </c>
      <c r="L145" s="92" t="e">
        <f t="shared" si="50"/>
        <v>#DIV/0!</v>
      </c>
      <c r="M145" s="324"/>
      <c r="N145" s="325"/>
      <c r="O145" s="325"/>
      <c r="P145" s="326"/>
      <c r="Q145" s="62"/>
      <c r="R145" s="62"/>
      <c r="S145" s="94"/>
      <c r="T145" s="32" t="s">
        <v>59</v>
      </c>
      <c r="U145" s="91">
        <f t="shared" si="51"/>
        <v>0</v>
      </c>
      <c r="V145" s="90">
        <f t="shared" si="52"/>
        <v>0</v>
      </c>
      <c r="W145" s="92" t="e">
        <f t="shared" si="53"/>
        <v>#DIV/0!</v>
      </c>
    </row>
    <row r="146" spans="1:23" ht="15" thickBot="1" x14ac:dyDescent="0.4">
      <c r="A146" s="490" t="s">
        <v>312</v>
      </c>
      <c r="B146" s="510"/>
      <c r="C146" s="156">
        <f>C144+C145</f>
        <v>15</v>
      </c>
      <c r="D146" s="156">
        <f t="shared" ref="D146" si="55">D144+D145</f>
        <v>3</v>
      </c>
      <c r="E146" s="156">
        <f t="shared" ref="E146" si="56">E144+E145</f>
        <v>6</v>
      </c>
      <c r="F146" s="156">
        <f t="shared" ref="F146" si="57">F144+F145</f>
        <v>0</v>
      </c>
      <c r="G146" s="509"/>
      <c r="H146" s="490" t="s">
        <v>312</v>
      </c>
      <c r="I146" s="511"/>
      <c r="J146" s="91">
        <f t="shared" si="48"/>
        <v>15</v>
      </c>
      <c r="K146" s="90">
        <f t="shared" si="49"/>
        <v>24</v>
      </c>
      <c r="L146" s="92">
        <f t="shared" si="50"/>
        <v>0.625</v>
      </c>
      <c r="M146" s="327"/>
      <c r="N146" s="328"/>
      <c r="O146" s="328"/>
      <c r="P146" s="329"/>
      <c r="Q146" s="122"/>
      <c r="R146" s="122"/>
      <c r="S146" s="490" t="s">
        <v>312</v>
      </c>
      <c r="T146" s="511"/>
      <c r="U146" s="91">
        <f t="shared" si="51"/>
        <v>3.75</v>
      </c>
      <c r="V146" s="90">
        <f t="shared" si="52"/>
        <v>6</v>
      </c>
      <c r="W146" s="92">
        <f t="shared" si="53"/>
        <v>0.625</v>
      </c>
    </row>
    <row r="148" spans="1:23" ht="15" thickBot="1" x14ac:dyDescent="0.4"/>
    <row r="149" spans="1:23" ht="26.5" thickBot="1" x14ac:dyDescent="0.4">
      <c r="A149" s="514" t="s">
        <v>368</v>
      </c>
      <c r="B149" s="515"/>
      <c r="C149" s="515"/>
      <c r="D149" s="515"/>
      <c r="E149" s="515"/>
      <c r="F149" s="515"/>
      <c r="G149" s="121"/>
      <c r="H149" s="425" t="s">
        <v>333</v>
      </c>
      <c r="I149" s="425"/>
      <c r="J149" s="425"/>
      <c r="K149" s="425"/>
      <c r="L149" s="425"/>
      <c r="M149" s="309"/>
      <c r="N149" s="309"/>
      <c r="O149" s="309"/>
      <c r="P149" s="309"/>
      <c r="Q149" s="121"/>
      <c r="R149" s="124" t="s">
        <v>335</v>
      </c>
      <c r="S149" s="425" t="s">
        <v>334</v>
      </c>
      <c r="T149" s="425"/>
      <c r="U149" s="425"/>
      <c r="V149" s="425"/>
      <c r="W149" s="426"/>
    </row>
    <row r="150" spans="1:23" ht="29.5" thickBot="1" x14ac:dyDescent="0.4">
      <c r="A150" s="403" t="s">
        <v>5</v>
      </c>
      <c r="B150" s="512"/>
      <c r="C150" s="118" t="s">
        <v>33</v>
      </c>
      <c r="D150" s="118" t="s">
        <v>20</v>
      </c>
      <c r="E150" s="118" t="s">
        <v>10</v>
      </c>
      <c r="F150" s="118" t="s">
        <v>277</v>
      </c>
      <c r="G150" s="62"/>
      <c r="H150" s="513" t="s">
        <v>5</v>
      </c>
      <c r="I150" s="421"/>
      <c r="J150" s="93" t="s">
        <v>33</v>
      </c>
      <c r="K150" s="119" t="s">
        <v>326</v>
      </c>
      <c r="L150" s="120" t="s">
        <v>150</v>
      </c>
      <c r="M150" s="310"/>
      <c r="N150" s="320" t="s">
        <v>33</v>
      </c>
      <c r="O150" s="320" t="s">
        <v>326</v>
      </c>
      <c r="P150" s="321" t="s">
        <v>150</v>
      </c>
      <c r="Q150" s="62"/>
      <c r="R150" s="125">
        <f>'Matchs joués'!B9</f>
        <v>4</v>
      </c>
      <c r="S150" s="513" t="s">
        <v>5</v>
      </c>
      <c r="T150" s="421"/>
      <c r="U150" s="93" t="s">
        <v>33</v>
      </c>
      <c r="V150" s="119" t="s">
        <v>326</v>
      </c>
      <c r="W150" s="120" t="s">
        <v>150</v>
      </c>
    </row>
    <row r="151" spans="1:23" ht="15" thickBot="1" x14ac:dyDescent="0.4">
      <c r="A151" s="407" t="s">
        <v>295</v>
      </c>
      <c r="B151" s="87" t="s">
        <v>15</v>
      </c>
      <c r="C151" s="152">
        <f>COUNTIFS('Données brutes'!F:F,"But",'Données brutes'!E:E,"LEA",'Données brutes'!G:G,"ALG")</f>
        <v>0</v>
      </c>
      <c r="D151" s="90">
        <f>COUNTIFS('Données brutes'!F:F,"Ar GB",'Données brutes'!E:E,"LEA",'Données brutes'!G:G,"ALG")</f>
        <v>0</v>
      </c>
      <c r="E151" s="90">
        <f>COUNTIFS('Données brutes'!F:F,"HC",'Données brutes'!E:E,"LEA",'Données brutes'!G:G,"ALG")</f>
        <v>0</v>
      </c>
      <c r="F151" s="90">
        <f>COUNTIFS('Données brutes'!F:F,"tir raté NC",'Données brutes'!E:E,"LEA",'Données brutes'!G:G,"ALG")</f>
        <v>0</v>
      </c>
      <c r="G151" s="121"/>
      <c r="H151" s="407" t="s">
        <v>295</v>
      </c>
      <c r="I151" s="32" t="s">
        <v>15</v>
      </c>
      <c r="J151" s="91">
        <f>$C151</f>
        <v>0</v>
      </c>
      <c r="K151" s="90">
        <f>$C151+$D151+$E151</f>
        <v>0</v>
      </c>
      <c r="L151" s="92" t="e">
        <f>J151/K151</f>
        <v>#DIV/0!</v>
      </c>
      <c r="M151" s="404" t="s">
        <v>295</v>
      </c>
      <c r="N151" s="496" t="s">
        <v>394</v>
      </c>
      <c r="O151" s="496"/>
      <c r="P151" s="497"/>
      <c r="Q151" s="62"/>
      <c r="R151" s="62"/>
      <c r="S151" s="407" t="s">
        <v>295</v>
      </c>
      <c r="T151" s="32" t="s">
        <v>15</v>
      </c>
      <c r="U151" s="91">
        <f>$J151/$R$2</f>
        <v>0</v>
      </c>
      <c r="V151" s="90">
        <f>$K151/$R$2</f>
        <v>0</v>
      </c>
      <c r="W151" s="92" t="e">
        <f>U151/V151</f>
        <v>#DIV/0!</v>
      </c>
    </row>
    <row r="152" spans="1:23" ht="15" thickBot="1" x14ac:dyDescent="0.4">
      <c r="A152" s="404"/>
      <c r="B152" s="13" t="s">
        <v>282</v>
      </c>
      <c r="C152" s="153">
        <f>COUNTIFS('Données brutes'!F:F,"But",'Données brutes'!E:E,"LEA",'Données brutes'!G:G,"1 2")</f>
        <v>2</v>
      </c>
      <c r="D152" s="61">
        <f>COUNTIFS('Données brutes'!F:F,"Ar GB",'Données brutes'!E:E,"LEA",'Données brutes'!G:G,"1 2")</f>
        <v>0</v>
      </c>
      <c r="E152" s="61">
        <f>COUNTIFS('Données brutes'!F:F,"HC",'Données brutes'!E:E,"LEA",'Données brutes'!G:G,"1 2")</f>
        <v>0</v>
      </c>
      <c r="F152" s="90">
        <f>COUNTIFS('Données brutes'!F:F,"tir raté NC",'Données brutes'!E:E,"LEA",'Données brutes'!G:G,"1 2")</f>
        <v>0</v>
      </c>
      <c r="G152" s="62"/>
      <c r="H152" s="404"/>
      <c r="I152" s="33" t="s">
        <v>282</v>
      </c>
      <c r="J152" s="91">
        <f t="shared" ref="J152:J171" si="58">$C152</f>
        <v>2</v>
      </c>
      <c r="K152" s="90">
        <f t="shared" ref="K152:K171" si="59">$C152+$D152+$E152</f>
        <v>2</v>
      </c>
      <c r="L152" s="92">
        <f t="shared" ref="L152:L171" si="60">J152/K152</f>
        <v>1</v>
      </c>
      <c r="M152" s="404"/>
      <c r="N152" s="319">
        <f>J151+J157</f>
        <v>0</v>
      </c>
      <c r="O152" s="319">
        <f>K151+K157</f>
        <v>0</v>
      </c>
      <c r="P152" s="322" t="e">
        <f>N152/O152</f>
        <v>#DIV/0!</v>
      </c>
      <c r="Q152" s="62"/>
      <c r="R152" s="62"/>
      <c r="S152" s="404"/>
      <c r="T152" s="33" t="s">
        <v>282</v>
      </c>
      <c r="U152" s="91">
        <f t="shared" ref="U152:U171" si="61">$J152/$R$2</f>
        <v>0.5</v>
      </c>
      <c r="V152" s="90">
        <f t="shared" ref="V152:V171" si="62">$K152/$R$2</f>
        <v>0.5</v>
      </c>
      <c r="W152" s="92">
        <f t="shared" ref="W152:W171" si="63">U152/V152</f>
        <v>1</v>
      </c>
    </row>
    <row r="153" spans="1:23" ht="15" thickBot="1" x14ac:dyDescent="0.4">
      <c r="A153" s="404"/>
      <c r="B153" s="13" t="s">
        <v>297</v>
      </c>
      <c r="C153" s="153">
        <f>COUNTIFS('Données brutes'!F:F,"But",'Données brutes'!E:E,"LEA",'Données brutes'!G:G,"2 3")</f>
        <v>1</v>
      </c>
      <c r="D153" s="61">
        <f>COUNTIFS('Données brutes'!F:F,"Ar GB",'Données brutes'!E:E,"LEA",'Données brutes'!G:G,"2 3")</f>
        <v>0</v>
      </c>
      <c r="E153" s="61">
        <f>COUNTIFS('Données brutes'!F:F,"HC",'Données brutes'!E:E,"LEA",'Données brutes'!G:G,"2 3")</f>
        <v>0</v>
      </c>
      <c r="F153" s="90">
        <f>COUNTIFS('Données brutes'!F:F,"tir raté NC",'Données brutes'!E:E,"LEA",'Données brutes'!G:G,"2 3")</f>
        <v>0</v>
      </c>
      <c r="G153" s="62"/>
      <c r="H153" s="404"/>
      <c r="I153" s="33" t="s">
        <v>297</v>
      </c>
      <c r="J153" s="91">
        <f t="shared" si="58"/>
        <v>1</v>
      </c>
      <c r="K153" s="90">
        <f t="shared" si="59"/>
        <v>1</v>
      </c>
      <c r="L153" s="92">
        <f t="shared" si="60"/>
        <v>1</v>
      </c>
      <c r="M153" s="404"/>
      <c r="N153" s="498" t="s">
        <v>395</v>
      </c>
      <c r="O153" s="498"/>
      <c r="P153" s="499"/>
      <c r="Q153" s="62"/>
      <c r="R153" s="62"/>
      <c r="S153" s="404"/>
      <c r="T153" s="33" t="s">
        <v>297</v>
      </c>
      <c r="U153" s="91">
        <f t="shared" si="61"/>
        <v>0.25</v>
      </c>
      <c r="V153" s="90">
        <f t="shared" si="62"/>
        <v>0.25</v>
      </c>
      <c r="W153" s="92">
        <f t="shared" si="63"/>
        <v>1</v>
      </c>
    </row>
    <row r="154" spans="1:23" ht="15" thickBot="1" x14ac:dyDescent="0.4">
      <c r="A154" s="404"/>
      <c r="B154" s="13" t="s">
        <v>296</v>
      </c>
      <c r="C154" s="153">
        <f>COUNTIFS('Données brutes'!F:F,"But",'Données brutes'!E:E,"LEA",'Données brutes'!G:G,"3 4")</f>
        <v>1</v>
      </c>
      <c r="D154" s="61">
        <f>COUNTIFS('Données brutes'!F:F,"Ar GB",'Données brutes'!E:E,"LEA",'Données brutes'!G:G,"3 4")</f>
        <v>0</v>
      </c>
      <c r="E154" s="61">
        <f>COUNTIFS('Données brutes'!F:F,"HC",'Données brutes'!E:E,"LEA",'Données brutes'!G:G,"3 4")</f>
        <v>0</v>
      </c>
      <c r="F154" s="90">
        <f>COUNTIFS('Données brutes'!F:F,"tir raté NC",'Données brutes'!E:E,"LEA",'Données brutes'!G:G,"3 4")</f>
        <v>0</v>
      </c>
      <c r="G154" s="62"/>
      <c r="H154" s="404"/>
      <c r="I154" s="33" t="s">
        <v>296</v>
      </c>
      <c r="J154" s="91">
        <f t="shared" si="58"/>
        <v>1</v>
      </c>
      <c r="K154" s="90">
        <f t="shared" si="59"/>
        <v>1</v>
      </c>
      <c r="L154" s="92">
        <f t="shared" si="60"/>
        <v>1</v>
      </c>
      <c r="M154" s="404"/>
      <c r="N154" s="319">
        <f>J152+J156</f>
        <v>2</v>
      </c>
      <c r="O154" s="319">
        <f>K152+K156</f>
        <v>3</v>
      </c>
      <c r="P154" s="322">
        <f>N154/O154</f>
        <v>0.66666666666666663</v>
      </c>
      <c r="Q154" s="62"/>
      <c r="R154" s="62"/>
      <c r="S154" s="404"/>
      <c r="T154" s="33" t="s">
        <v>296</v>
      </c>
      <c r="U154" s="91">
        <f t="shared" si="61"/>
        <v>0.25</v>
      </c>
      <c r="V154" s="90">
        <f t="shared" si="62"/>
        <v>0.25</v>
      </c>
      <c r="W154" s="92">
        <f t="shared" si="63"/>
        <v>1</v>
      </c>
    </row>
    <row r="155" spans="1:23" ht="15" thickBot="1" x14ac:dyDescent="0.4">
      <c r="A155" s="404"/>
      <c r="B155" s="13" t="s">
        <v>298</v>
      </c>
      <c r="C155" s="153">
        <f>COUNTIFS('Données brutes'!F:F,"But",'Données brutes'!E:E,"LEA",'Données brutes'!G:G,"4 5")</f>
        <v>0</v>
      </c>
      <c r="D155" s="61">
        <f>COUNTIFS('Données brutes'!F:F,"Ar GB",'Données brutes'!E:E,"LEA",'Données brutes'!G:G,"4 5")</f>
        <v>0</v>
      </c>
      <c r="E155" s="61">
        <f>COUNTIFS('Données brutes'!F:F,"HC",'Données brutes'!E:E,"LEA",'Données brutes'!G:G,"4 5")</f>
        <v>0</v>
      </c>
      <c r="F155" s="90">
        <f>COUNTIFS('Données brutes'!F:F,"tir raté NC",'Données brutes'!E:E,"LEA",'Données brutes'!G:G,"4 5")</f>
        <v>0</v>
      </c>
      <c r="G155" s="62"/>
      <c r="H155" s="404"/>
      <c r="I155" s="33" t="s">
        <v>298</v>
      </c>
      <c r="J155" s="91">
        <f t="shared" si="58"/>
        <v>0</v>
      </c>
      <c r="K155" s="90">
        <f t="shared" si="59"/>
        <v>0</v>
      </c>
      <c r="L155" s="92" t="e">
        <f t="shared" si="60"/>
        <v>#DIV/0!</v>
      </c>
      <c r="M155" s="404"/>
      <c r="N155" s="498" t="s">
        <v>396</v>
      </c>
      <c r="O155" s="498"/>
      <c r="P155" s="499"/>
      <c r="Q155" s="62"/>
      <c r="R155" s="62"/>
      <c r="S155" s="404"/>
      <c r="T155" s="33" t="s">
        <v>298</v>
      </c>
      <c r="U155" s="91">
        <f t="shared" si="61"/>
        <v>0</v>
      </c>
      <c r="V155" s="90">
        <f t="shared" si="62"/>
        <v>0</v>
      </c>
      <c r="W155" s="92" t="e">
        <f t="shared" si="63"/>
        <v>#DIV/0!</v>
      </c>
    </row>
    <row r="156" spans="1:23" ht="15" thickBot="1" x14ac:dyDescent="0.4">
      <c r="A156" s="404"/>
      <c r="B156" s="13" t="s">
        <v>283</v>
      </c>
      <c r="C156" s="153">
        <f>COUNTIFS('Données brutes'!F:F,"But",'Données brutes'!E:E,"LEA",'Données brutes'!G:G,"5 6")</f>
        <v>0</v>
      </c>
      <c r="D156" s="61">
        <f>COUNTIFS('Données brutes'!F:F,"Ar GB",'Données brutes'!E:E,"LEA",'Données brutes'!G:G,"5 6")</f>
        <v>0</v>
      </c>
      <c r="E156" s="61">
        <f>COUNTIFS('Données brutes'!F:F,"HC",'Données brutes'!E:E,"LEA",'Données brutes'!G:G,"5 6")</f>
        <v>1</v>
      </c>
      <c r="F156" s="90">
        <f>COUNTIFS('Données brutes'!F:F,"tir raté NC",'Données brutes'!E:E,"LEA",'Données brutes'!G:G,"5 6")</f>
        <v>0</v>
      </c>
      <c r="G156" s="62"/>
      <c r="H156" s="404"/>
      <c r="I156" s="33" t="s">
        <v>283</v>
      </c>
      <c r="J156" s="91">
        <f t="shared" si="58"/>
        <v>0</v>
      </c>
      <c r="K156" s="90">
        <f t="shared" si="59"/>
        <v>1</v>
      </c>
      <c r="L156" s="92">
        <f t="shared" si="60"/>
        <v>0</v>
      </c>
      <c r="M156" s="404"/>
      <c r="N156" s="319">
        <f>J153+J154+J155</f>
        <v>2</v>
      </c>
      <c r="O156" s="319">
        <f>K153+K154+K155</f>
        <v>2</v>
      </c>
      <c r="P156" s="322">
        <f>N156/O156</f>
        <v>1</v>
      </c>
      <c r="Q156" s="62"/>
      <c r="R156" s="62"/>
      <c r="S156" s="404"/>
      <c r="T156" s="33" t="s">
        <v>283</v>
      </c>
      <c r="U156" s="91">
        <f t="shared" si="61"/>
        <v>0</v>
      </c>
      <c r="V156" s="90">
        <f t="shared" si="62"/>
        <v>0.25</v>
      </c>
      <c r="W156" s="92">
        <f t="shared" si="63"/>
        <v>0</v>
      </c>
    </row>
    <row r="157" spans="1:23" ht="15" thickBot="1" x14ac:dyDescent="0.4">
      <c r="A157" s="490"/>
      <c r="B157" s="36" t="s">
        <v>17</v>
      </c>
      <c r="C157" s="154">
        <f>COUNTIFS('Données brutes'!F:F,"But",'Données brutes'!E:E,"LEA",'Données brutes'!G:G,"ALD")</f>
        <v>0</v>
      </c>
      <c r="D157" s="155">
        <f>COUNTIFS('Données brutes'!F:F,"Ar GB",'Données brutes'!E:E,"LEA",'Données brutes'!G:G,"ALD")</f>
        <v>0</v>
      </c>
      <c r="E157" s="155">
        <f>COUNTIFS('Données brutes'!F:F,"HC",'Données brutes'!E:E,"LEA",'Données brutes'!G:G,"ALD")</f>
        <v>0</v>
      </c>
      <c r="F157" s="90">
        <f>COUNTIFS('Données brutes'!F:F,"tir raté NC",'Données brutes'!E:E,"LEA",'Données brutes'!G:G,"ALD")</f>
        <v>0</v>
      </c>
      <c r="G157" s="122"/>
      <c r="H157" s="490"/>
      <c r="I157" s="73" t="s">
        <v>17</v>
      </c>
      <c r="J157" s="91">
        <f t="shared" si="58"/>
        <v>0</v>
      </c>
      <c r="K157" s="90">
        <f t="shared" si="59"/>
        <v>0</v>
      </c>
      <c r="L157" s="92" t="e">
        <f t="shared" si="60"/>
        <v>#DIV/0!</v>
      </c>
      <c r="M157" s="404"/>
      <c r="N157" s="325"/>
      <c r="O157" s="325"/>
      <c r="P157" s="326"/>
      <c r="Q157" s="62"/>
      <c r="R157" s="62"/>
      <c r="S157" s="490"/>
      <c r="T157" s="73" t="s">
        <v>17</v>
      </c>
      <c r="U157" s="91">
        <f t="shared" si="61"/>
        <v>0</v>
      </c>
      <c r="V157" s="90">
        <f t="shared" si="62"/>
        <v>0</v>
      </c>
      <c r="W157" s="92" t="e">
        <f t="shared" si="63"/>
        <v>#DIV/0!</v>
      </c>
    </row>
    <row r="158" spans="1:23" ht="15" customHeight="1" thickBot="1" x14ac:dyDescent="0.4">
      <c r="A158" s="491" t="s">
        <v>299</v>
      </c>
      <c r="B158" s="87" t="s">
        <v>301</v>
      </c>
      <c r="C158" s="152">
        <f>COUNTIFS('Données brutes'!F:F,"But",'Données brutes'!E:E,"LEA",'Données brutes'!G:G,"Central 7m 9m appui")</f>
        <v>3</v>
      </c>
      <c r="D158" s="90">
        <f>COUNTIFS('Données brutes'!F:F,"Ar GB",'Données brutes'!E:E,"LEA",'Données brutes'!G:G,"Central 7m 9m appui")</f>
        <v>0</v>
      </c>
      <c r="E158" s="90">
        <f>COUNTIFS('Données brutes'!F:F,"HC",'Données brutes'!E:E,"LEA",'Données brutes'!G:G,"Central 7m 9m appui")</f>
        <v>1</v>
      </c>
      <c r="F158" s="90">
        <f>COUNTIFS('Données brutes'!F:F,"tir raté NC",'Données brutes'!E:E,"LEA",'Données brutes'!G:G,"ALD")</f>
        <v>0</v>
      </c>
      <c r="G158" s="121"/>
      <c r="H158" s="491" t="s">
        <v>299</v>
      </c>
      <c r="I158" s="32" t="s">
        <v>301</v>
      </c>
      <c r="J158" s="91">
        <f t="shared" si="58"/>
        <v>3</v>
      </c>
      <c r="K158" s="90">
        <f t="shared" si="59"/>
        <v>4</v>
      </c>
      <c r="L158" s="92">
        <f t="shared" si="60"/>
        <v>0.75</v>
      </c>
      <c r="M158" s="495" t="s">
        <v>299</v>
      </c>
      <c r="N158" s="319">
        <f>SUM(J158:J160)</f>
        <v>3</v>
      </c>
      <c r="O158" s="319">
        <f>SUM(K158:K160)</f>
        <v>4</v>
      </c>
      <c r="P158" s="322">
        <f>N158/O158</f>
        <v>0.75</v>
      </c>
      <c r="Q158" s="62"/>
      <c r="R158" s="62"/>
      <c r="S158" s="491" t="s">
        <v>299</v>
      </c>
      <c r="T158" s="32" t="s">
        <v>301</v>
      </c>
      <c r="U158" s="91">
        <f t="shared" si="61"/>
        <v>0.75</v>
      </c>
      <c r="V158" s="90">
        <f t="shared" si="62"/>
        <v>1</v>
      </c>
      <c r="W158" s="92">
        <f t="shared" si="63"/>
        <v>0.75</v>
      </c>
    </row>
    <row r="159" spans="1:23" ht="15" thickBot="1" x14ac:dyDescent="0.4">
      <c r="A159" s="495"/>
      <c r="B159" s="13" t="s">
        <v>302</v>
      </c>
      <c r="C159" s="153">
        <f>COUNTIFS('Données brutes'!F:F,"But",'Données brutes'!E:E,"LEA",'Données brutes'!G:G,"7m 9m Ext G appui")</f>
        <v>0</v>
      </c>
      <c r="D159" s="61">
        <f>COUNTIFS('Données brutes'!F:F,"Ar GB",'Données brutes'!E:E,"LEA",'Données brutes'!G:G,"7m 9m Ext G appui")</f>
        <v>0</v>
      </c>
      <c r="E159" s="61">
        <f>COUNTIFS('Données brutes'!F:F,"HC",'Données brutes'!E:E,"LEA",'Données brutes'!G:G,"7m 9m Ext G appui")</f>
        <v>0</v>
      </c>
      <c r="F159" s="90">
        <f>COUNTIFS('Données brutes'!F:F,"tir raté NC",'Données brutes'!E:E,"LEA",'Données brutes'!G:G,"7m 9m Ext G appui")</f>
        <v>0</v>
      </c>
      <c r="G159" s="62"/>
      <c r="H159" s="495"/>
      <c r="I159" s="33" t="s">
        <v>302</v>
      </c>
      <c r="J159" s="91">
        <f t="shared" si="58"/>
        <v>0</v>
      </c>
      <c r="K159" s="90">
        <f t="shared" si="59"/>
        <v>0</v>
      </c>
      <c r="L159" s="92" t="e">
        <f t="shared" si="60"/>
        <v>#DIV/0!</v>
      </c>
      <c r="M159" s="495"/>
      <c r="N159" s="325"/>
      <c r="O159" s="325"/>
      <c r="P159" s="326"/>
      <c r="Q159" s="62"/>
      <c r="R159" s="62"/>
      <c r="S159" s="495"/>
      <c r="T159" s="33" t="s">
        <v>302</v>
      </c>
      <c r="U159" s="91">
        <f t="shared" si="61"/>
        <v>0</v>
      </c>
      <c r="V159" s="90">
        <f t="shared" si="62"/>
        <v>0</v>
      </c>
      <c r="W159" s="92" t="e">
        <f t="shared" si="63"/>
        <v>#DIV/0!</v>
      </c>
    </row>
    <row r="160" spans="1:23" ht="15" thickBot="1" x14ac:dyDescent="0.4">
      <c r="A160" s="492"/>
      <c r="B160" s="36" t="s">
        <v>303</v>
      </c>
      <c r="C160" s="154">
        <f>COUNTIFS('Données brutes'!F:F,"But",'Données brutes'!E:E,"LEA",'Données brutes'!G:G,"7m 9m Ext D appui")</f>
        <v>0</v>
      </c>
      <c r="D160" s="155">
        <f>COUNTIFS('Données brutes'!F:F,"Ar GB",'Données brutes'!E:E,"LEA",'Données brutes'!G:G,"7m 9m Ext D appui")</f>
        <v>0</v>
      </c>
      <c r="E160" s="155">
        <f>COUNTIFS('Données brutes'!F:F,"HC",'Données brutes'!E:E,"LEA",'Données brutes'!G:G,"7m 9m Ext D appui")</f>
        <v>0</v>
      </c>
      <c r="F160" s="90">
        <f>COUNTIFS('Données brutes'!F:F,"tir raté NC",'Données brutes'!E:E,"LEA",'Données brutes'!G:G,"ALD")</f>
        <v>0</v>
      </c>
      <c r="G160" s="122"/>
      <c r="H160" s="492"/>
      <c r="I160" s="73" t="s">
        <v>303</v>
      </c>
      <c r="J160" s="91">
        <f t="shared" si="58"/>
        <v>0</v>
      </c>
      <c r="K160" s="90">
        <f t="shared" si="59"/>
        <v>0</v>
      </c>
      <c r="L160" s="92" t="e">
        <f t="shared" si="60"/>
        <v>#DIV/0!</v>
      </c>
      <c r="M160" s="495"/>
      <c r="N160" s="325"/>
      <c r="O160" s="325"/>
      <c r="P160" s="326"/>
      <c r="Q160" s="62"/>
      <c r="R160" s="62"/>
      <c r="S160" s="492"/>
      <c r="T160" s="73" t="s">
        <v>303</v>
      </c>
      <c r="U160" s="91">
        <f t="shared" si="61"/>
        <v>0</v>
      </c>
      <c r="V160" s="90">
        <f t="shared" si="62"/>
        <v>0</v>
      </c>
      <c r="W160" s="92" t="e">
        <f t="shared" si="63"/>
        <v>#DIV/0!</v>
      </c>
    </row>
    <row r="161" spans="1:23" ht="15" customHeight="1" thickBot="1" x14ac:dyDescent="0.4">
      <c r="A161" s="493" t="s">
        <v>300</v>
      </c>
      <c r="B161" s="87" t="s">
        <v>304</v>
      </c>
      <c r="C161" s="152">
        <f>COUNTIFS('Données brutes'!F:F,"But",'Données brutes'!E:E,"LEA",'Données brutes'!G:G,"7m 9m central suspension")</f>
        <v>0</v>
      </c>
      <c r="D161" s="90">
        <f>COUNTIFS('Données brutes'!F:F,"Ar GB",'Données brutes'!E:E,"LEA",'Données brutes'!G:G,"7m 9m central suspension")</f>
        <v>0</v>
      </c>
      <c r="E161" s="90">
        <f>COUNTIFS('Données brutes'!F:F,"HC",'Données brutes'!E:E,"LEA",'Données brutes'!G:G,"7m 9m central suspension")</f>
        <v>0</v>
      </c>
      <c r="F161" s="90">
        <f>COUNTIFS('Données brutes'!F:F,"tir raté NC",'Données brutes'!E:E,"LEA",'Données brutes'!G:G,"ALD")</f>
        <v>0</v>
      </c>
      <c r="G161" s="121"/>
      <c r="H161" s="493" t="s">
        <v>300</v>
      </c>
      <c r="I161" s="32" t="s">
        <v>304</v>
      </c>
      <c r="J161" s="91">
        <f t="shared" si="58"/>
        <v>0</v>
      </c>
      <c r="K161" s="90">
        <f t="shared" si="59"/>
        <v>0</v>
      </c>
      <c r="L161" s="92" t="e">
        <f t="shared" si="60"/>
        <v>#DIV/0!</v>
      </c>
      <c r="M161" s="495" t="s">
        <v>300</v>
      </c>
      <c r="N161" s="319">
        <f>SUM(J161:J163)</f>
        <v>1</v>
      </c>
      <c r="O161" s="319">
        <f>SUM(K161:K163)</f>
        <v>1</v>
      </c>
      <c r="P161" s="322">
        <f>N161/O161</f>
        <v>1</v>
      </c>
      <c r="Q161" s="62"/>
      <c r="R161" s="62"/>
      <c r="S161" s="493" t="s">
        <v>300</v>
      </c>
      <c r="T161" s="32" t="s">
        <v>304</v>
      </c>
      <c r="U161" s="91">
        <f t="shared" si="61"/>
        <v>0</v>
      </c>
      <c r="V161" s="90">
        <f t="shared" si="62"/>
        <v>0</v>
      </c>
      <c r="W161" s="92" t="e">
        <f t="shared" si="63"/>
        <v>#DIV/0!</v>
      </c>
    </row>
    <row r="162" spans="1:23" ht="15" thickBot="1" x14ac:dyDescent="0.4">
      <c r="A162" s="506"/>
      <c r="B162" s="13" t="s">
        <v>305</v>
      </c>
      <c r="C162" s="153">
        <f>COUNTIFS('Données brutes'!F:F,"But",'Données brutes'!E:E,"LEA",'Données brutes'!G:G,"7m 9m Ext G suspension")</f>
        <v>1</v>
      </c>
      <c r="D162" s="61">
        <f>COUNTIFS('Données brutes'!F:F,"Ar GB",'Données brutes'!E:E,"LEA",'Données brutes'!G:G,"7m 9m Ext G suspension")</f>
        <v>0</v>
      </c>
      <c r="E162" s="61">
        <f>COUNTIFS('Données brutes'!F:F,"HC",'Données brutes'!E:E,"LEA",'Données brutes'!G:G,"7m 9m Ext G suspension")</f>
        <v>0</v>
      </c>
      <c r="F162" s="90">
        <f>COUNTIFS('Données brutes'!F:F,"tir raté NC",'Données brutes'!E:E,"LEA",'Données brutes'!G:G,"ALD")</f>
        <v>0</v>
      </c>
      <c r="G162" s="62"/>
      <c r="H162" s="506"/>
      <c r="I162" s="33" t="s">
        <v>305</v>
      </c>
      <c r="J162" s="91">
        <f t="shared" si="58"/>
        <v>1</v>
      </c>
      <c r="K162" s="90">
        <f t="shared" si="59"/>
        <v>1</v>
      </c>
      <c r="L162" s="92">
        <f t="shared" si="60"/>
        <v>1</v>
      </c>
      <c r="M162" s="495"/>
      <c r="N162" s="325"/>
      <c r="O162" s="325"/>
      <c r="P162" s="326"/>
      <c r="Q162" s="62"/>
      <c r="R162" s="62"/>
      <c r="S162" s="506"/>
      <c r="T162" s="33" t="s">
        <v>305</v>
      </c>
      <c r="U162" s="91">
        <f t="shared" si="61"/>
        <v>0.25</v>
      </c>
      <c r="V162" s="90">
        <f t="shared" si="62"/>
        <v>0.25</v>
      </c>
      <c r="W162" s="92">
        <f t="shared" si="63"/>
        <v>1</v>
      </c>
    </row>
    <row r="163" spans="1:23" ht="15" thickBot="1" x14ac:dyDescent="0.4">
      <c r="A163" s="494"/>
      <c r="B163" s="36" t="s">
        <v>306</v>
      </c>
      <c r="C163" s="153">
        <f>COUNTIFS('Données brutes'!F:F,"But",'Données brutes'!E:E,"LEA",'Données brutes'!G:G,"7m 9m Ext D suspension")</f>
        <v>0</v>
      </c>
      <c r="D163" s="61">
        <f>COUNTIFS('Données brutes'!F:F,"Ar GB",'Données brutes'!E:E,"LEA",'Données brutes'!G:G,"7m 9m Ext D suspension")</f>
        <v>0</v>
      </c>
      <c r="E163" s="61">
        <f>COUNTIFS('Données brutes'!F:F,"HC",'Données brutes'!E:E,"LEA",'Données brutes'!G:G,"7m 9m Ext D suspension")</f>
        <v>0</v>
      </c>
      <c r="F163" s="90">
        <f>COUNTIFS('Données brutes'!F:F,"tir raté NC",'Données brutes'!E:E,"LEA",'Données brutes'!G:G,"7m 9m Ext D suspension")</f>
        <v>0</v>
      </c>
      <c r="G163" s="122"/>
      <c r="H163" s="494"/>
      <c r="I163" s="73" t="s">
        <v>306</v>
      </c>
      <c r="J163" s="91">
        <f t="shared" si="58"/>
        <v>0</v>
      </c>
      <c r="K163" s="90">
        <f t="shared" si="59"/>
        <v>0</v>
      </c>
      <c r="L163" s="92" t="e">
        <f t="shared" si="60"/>
        <v>#DIV/0!</v>
      </c>
      <c r="M163" s="495"/>
      <c r="N163" s="325"/>
      <c r="O163" s="325"/>
      <c r="P163" s="326"/>
      <c r="Q163" s="62"/>
      <c r="R163" s="62"/>
      <c r="S163" s="494"/>
      <c r="T163" s="73" t="s">
        <v>306</v>
      </c>
      <c r="U163" s="91">
        <f t="shared" si="61"/>
        <v>0</v>
      </c>
      <c r="V163" s="90">
        <f t="shared" si="62"/>
        <v>0</v>
      </c>
      <c r="W163" s="92" t="e">
        <f t="shared" si="63"/>
        <v>#DIV/0!</v>
      </c>
    </row>
    <row r="164" spans="1:23" ht="15" thickBot="1" x14ac:dyDescent="0.4">
      <c r="A164" s="407" t="s">
        <v>146</v>
      </c>
      <c r="B164" s="87" t="s">
        <v>307</v>
      </c>
      <c r="C164" s="152">
        <f>COUNTIFS('Données brutes'!F:F,"But",'Données brutes'!E:E,"LEA",'Données brutes'!G:G,"9m G")</f>
        <v>0</v>
      </c>
      <c r="D164" s="90">
        <f>COUNTIFS('Données brutes'!F:F,"Ar GB",'Données brutes'!E:E,"LEA",'Données brutes'!G:G,"9m G")</f>
        <v>0</v>
      </c>
      <c r="E164" s="90">
        <f>COUNTIFS('Données brutes'!F:F,"HC",'Données brutes'!E:E,"LEA",'Données brutes'!G:G,"9m G")</f>
        <v>0</v>
      </c>
      <c r="F164" s="90">
        <f>COUNTIFS('Données brutes'!F:F,"tir raté NC",'Données brutes'!E:E,"LEA",'Données brutes'!G:G,"9m G")</f>
        <v>0</v>
      </c>
      <c r="G164" s="121"/>
      <c r="H164" s="407" t="s">
        <v>146</v>
      </c>
      <c r="I164" s="32" t="s">
        <v>307</v>
      </c>
      <c r="J164" s="91">
        <f t="shared" si="58"/>
        <v>0</v>
      </c>
      <c r="K164" s="90">
        <f t="shared" si="59"/>
        <v>0</v>
      </c>
      <c r="L164" s="92" t="e">
        <f t="shared" si="60"/>
        <v>#DIV/0!</v>
      </c>
      <c r="M164" s="404" t="s">
        <v>146</v>
      </c>
      <c r="N164" s="319">
        <f>SUM(J164:J166)</f>
        <v>0</v>
      </c>
      <c r="O164" s="319">
        <f>SUM(K164:K166)</f>
        <v>1</v>
      </c>
      <c r="P164" s="322">
        <f>N164/O164</f>
        <v>0</v>
      </c>
      <c r="Q164" s="62"/>
      <c r="R164" s="62"/>
      <c r="S164" s="407" t="s">
        <v>146</v>
      </c>
      <c r="T164" s="32" t="s">
        <v>307</v>
      </c>
      <c r="U164" s="91">
        <f t="shared" si="61"/>
        <v>0</v>
      </c>
      <c r="V164" s="90">
        <f t="shared" si="62"/>
        <v>0</v>
      </c>
      <c r="W164" s="92" t="e">
        <f t="shared" si="63"/>
        <v>#DIV/0!</v>
      </c>
    </row>
    <row r="165" spans="1:23" ht="15" thickBot="1" x14ac:dyDescent="0.4">
      <c r="A165" s="404"/>
      <c r="B165" s="13" t="s">
        <v>308</v>
      </c>
      <c r="C165" s="152">
        <f>COUNTIFS('Données brutes'!F:F,"But",'Données brutes'!E:E,"LEA",'Données brutes'!G:G,"9m +")</f>
        <v>0</v>
      </c>
      <c r="D165" s="90">
        <f>COUNTIFS('Données brutes'!F:F,"Ar GB",'Données brutes'!E:E,"LEA",'Données brutes'!G:G,"9m +")</f>
        <v>1</v>
      </c>
      <c r="E165" s="90">
        <f>COUNTIFS('Données brutes'!F:F,"HC",'Données brutes'!E:E,"LEA",'Données brutes'!G:G,"9m +")</f>
        <v>0</v>
      </c>
      <c r="F165" s="90">
        <f>COUNTIFS('Données brutes'!F:F,"tir raté NC",'Données brutes'!E:E,"LEA",'Données brutes'!G:G,"9m +")</f>
        <v>0</v>
      </c>
      <c r="G165" s="62"/>
      <c r="H165" s="404"/>
      <c r="I165" s="33" t="s">
        <v>308</v>
      </c>
      <c r="J165" s="91">
        <f t="shared" si="58"/>
        <v>0</v>
      </c>
      <c r="K165" s="90">
        <f t="shared" si="59"/>
        <v>1</v>
      </c>
      <c r="L165" s="92">
        <f t="shared" si="60"/>
        <v>0</v>
      </c>
      <c r="M165" s="404"/>
      <c r="N165" s="325"/>
      <c r="O165" s="325"/>
      <c r="P165" s="326"/>
      <c r="Q165" s="62"/>
      <c r="R165" s="62"/>
      <c r="S165" s="404"/>
      <c r="T165" s="33" t="s">
        <v>308</v>
      </c>
      <c r="U165" s="91">
        <f t="shared" si="61"/>
        <v>0</v>
      </c>
      <c r="V165" s="90">
        <f t="shared" si="62"/>
        <v>0.25</v>
      </c>
      <c r="W165" s="92">
        <f t="shared" si="63"/>
        <v>0</v>
      </c>
    </row>
    <row r="166" spans="1:23" ht="15" thickBot="1" x14ac:dyDescent="0.4">
      <c r="A166" s="490"/>
      <c r="B166" s="36" t="s">
        <v>309</v>
      </c>
      <c r="C166" s="152">
        <f>COUNTIFS('Données brutes'!F:F,"But",'Données brutes'!E:E,"LEA",'Données brutes'!G:G,"9m D")</f>
        <v>0</v>
      </c>
      <c r="D166" s="90">
        <f>COUNTIFS('Données brutes'!F:F,"Ar GB",'Données brutes'!E:E,"LEA",'Données brutes'!G:G,"9m D")</f>
        <v>0</v>
      </c>
      <c r="E166" s="90">
        <f>COUNTIFS('Données brutes'!F:F,"HC",'Données brutes'!E:E,"LEA",'Données brutes'!G:G,"9m D")</f>
        <v>0</v>
      </c>
      <c r="F166" s="90">
        <f>COUNTIFS('Données brutes'!F:F,"tir raté NC",'Données brutes'!E:E,"LEA",'Données brutes'!G:G,"9m D")</f>
        <v>0</v>
      </c>
      <c r="G166" s="122"/>
      <c r="H166" s="490"/>
      <c r="I166" s="73" t="s">
        <v>309</v>
      </c>
      <c r="J166" s="91">
        <f t="shared" si="58"/>
        <v>0</v>
      </c>
      <c r="K166" s="90">
        <f t="shared" si="59"/>
        <v>0</v>
      </c>
      <c r="L166" s="92" t="e">
        <f t="shared" si="60"/>
        <v>#DIV/0!</v>
      </c>
      <c r="M166" s="404"/>
      <c r="N166" s="325"/>
      <c r="O166" s="325"/>
      <c r="P166" s="326"/>
      <c r="Q166" s="62"/>
      <c r="R166" s="62"/>
      <c r="S166" s="490"/>
      <c r="T166" s="73" t="s">
        <v>309</v>
      </c>
      <c r="U166" s="91">
        <f t="shared" si="61"/>
        <v>0</v>
      </c>
      <c r="V166" s="90">
        <f t="shared" si="62"/>
        <v>0</v>
      </c>
      <c r="W166" s="92" t="e">
        <f t="shared" si="63"/>
        <v>#DIV/0!</v>
      </c>
    </row>
    <row r="167" spans="1:23" ht="15" customHeight="1" thickBot="1" x14ac:dyDescent="0.4">
      <c r="A167" s="493" t="s">
        <v>310</v>
      </c>
      <c r="B167" s="87" t="s">
        <v>22</v>
      </c>
      <c r="C167" s="152">
        <f>COUNTIFS('Données brutes'!F:F,"But",'Données brutes'!E:E,"LEA",'Données brutes'!G:G,"But vide")</f>
        <v>0</v>
      </c>
      <c r="D167" s="90">
        <f>COUNTIFS('Données brutes'!F:F,"Ar GB",'Données brutes'!E:E,"LEA",'Données brutes'!G:G,"But vide")</f>
        <v>0</v>
      </c>
      <c r="E167" s="90">
        <f>COUNTIFS('Données brutes'!F:F,"HC",'Données brutes'!E:E,"LEA",'Données brutes'!G:G,"But vide")</f>
        <v>0</v>
      </c>
      <c r="F167" s="90">
        <f>COUNTIFS('Données brutes'!F:F,"tir raté NC",'Données brutes'!E:E,"LEA",'Données brutes'!G:G,"But vide")</f>
        <v>0</v>
      </c>
      <c r="G167" s="121"/>
      <c r="H167" s="493" t="s">
        <v>310</v>
      </c>
      <c r="I167" s="32" t="s">
        <v>22</v>
      </c>
      <c r="J167" s="91">
        <f t="shared" si="58"/>
        <v>0</v>
      </c>
      <c r="K167" s="90">
        <f t="shared" si="59"/>
        <v>0</v>
      </c>
      <c r="L167" s="92" t="e">
        <f t="shared" si="60"/>
        <v>#DIV/0!</v>
      </c>
      <c r="M167" s="495" t="s">
        <v>310</v>
      </c>
      <c r="N167" s="319">
        <f>J167+J168</f>
        <v>0</v>
      </c>
      <c r="O167" s="319">
        <f>K167+K168</f>
        <v>0</v>
      </c>
      <c r="P167" s="322" t="e">
        <f>N167/O167</f>
        <v>#DIV/0!</v>
      </c>
      <c r="Q167" s="62"/>
      <c r="R167" s="62"/>
      <c r="S167" s="493" t="s">
        <v>310</v>
      </c>
      <c r="T167" s="32" t="s">
        <v>22</v>
      </c>
      <c r="U167" s="91">
        <f t="shared" si="61"/>
        <v>0</v>
      </c>
      <c r="V167" s="90">
        <f t="shared" si="62"/>
        <v>0</v>
      </c>
      <c r="W167" s="92" t="e">
        <f t="shared" si="63"/>
        <v>#DIV/0!</v>
      </c>
    </row>
    <row r="168" spans="1:23" ht="15" thickBot="1" x14ac:dyDescent="0.4">
      <c r="A168" s="494"/>
      <c r="B168" s="36" t="s">
        <v>12</v>
      </c>
      <c r="C168" s="152">
        <f>COUNTIFS('Données brutes'!F:F,"But",'Données brutes'!E:E,"LEA",'Données brutes'!G:G,"CA MB")</f>
        <v>0</v>
      </c>
      <c r="D168" s="90">
        <f>COUNTIFS('Données brutes'!F:F,"Ar GB",'Données brutes'!E:E,"LEA",'Données brutes'!G:G,"CA MB")</f>
        <v>0</v>
      </c>
      <c r="E168" s="90">
        <f>COUNTIFS('Données brutes'!F:F,"HC",'Données brutes'!E:E,"LEA",'Données brutes'!G:G,"CA MB")</f>
        <v>0</v>
      </c>
      <c r="F168" s="90">
        <f>COUNTIFS('Données brutes'!F:F,"tir raté NC",'Données brutes'!E:E,"LEA",'Données brutes'!G:G,"CA MB")</f>
        <v>0</v>
      </c>
      <c r="G168" s="122"/>
      <c r="H168" s="494"/>
      <c r="I168" s="73" t="s">
        <v>12</v>
      </c>
      <c r="J168" s="91">
        <f t="shared" si="58"/>
        <v>0</v>
      </c>
      <c r="K168" s="90">
        <f t="shared" si="59"/>
        <v>0</v>
      </c>
      <c r="L168" s="92" t="e">
        <f t="shared" si="60"/>
        <v>#DIV/0!</v>
      </c>
      <c r="M168" s="495"/>
      <c r="N168" s="325"/>
      <c r="O168" s="325"/>
      <c r="P168" s="326"/>
      <c r="Q168" s="62"/>
      <c r="R168" s="62"/>
      <c r="S168" s="494"/>
      <c r="T168" s="73" t="s">
        <v>12</v>
      </c>
      <c r="U168" s="91">
        <f t="shared" si="61"/>
        <v>0</v>
      </c>
      <c r="V168" s="90">
        <f t="shared" si="62"/>
        <v>0</v>
      </c>
      <c r="W168" s="92" t="e">
        <f t="shared" si="63"/>
        <v>#DIV/0!</v>
      </c>
    </row>
    <row r="169" spans="1:23" ht="15" thickBot="1" x14ac:dyDescent="0.4">
      <c r="A169" s="488" t="s">
        <v>311</v>
      </c>
      <c r="B169" s="507"/>
      <c r="C169" s="156">
        <f>SUM(C151:C168)</f>
        <v>8</v>
      </c>
      <c r="D169" s="157">
        <f t="shared" ref="D169:E169" si="64">SUM(D151:D168)</f>
        <v>1</v>
      </c>
      <c r="E169" s="157">
        <f t="shared" si="64"/>
        <v>2</v>
      </c>
      <c r="F169" s="157">
        <f>SUM(F151:F164)</f>
        <v>0</v>
      </c>
      <c r="G169" s="123"/>
      <c r="H169" s="488" t="s">
        <v>311</v>
      </c>
      <c r="I169" s="489"/>
      <c r="J169" s="91">
        <f t="shared" si="58"/>
        <v>8</v>
      </c>
      <c r="K169" s="90">
        <f t="shared" si="59"/>
        <v>11</v>
      </c>
      <c r="L169" s="92">
        <f t="shared" si="60"/>
        <v>0.72727272727272729</v>
      </c>
      <c r="M169" s="324"/>
      <c r="N169" s="325"/>
      <c r="O169" s="325"/>
      <c r="P169" s="326"/>
      <c r="Q169" s="62"/>
      <c r="R169" s="62"/>
      <c r="S169" s="488" t="s">
        <v>311</v>
      </c>
      <c r="T169" s="489"/>
      <c r="U169" s="91">
        <f t="shared" si="61"/>
        <v>2</v>
      </c>
      <c r="V169" s="90">
        <f t="shared" si="62"/>
        <v>2.75</v>
      </c>
      <c r="W169" s="92">
        <f t="shared" si="63"/>
        <v>0.72727272727272729</v>
      </c>
    </row>
    <row r="170" spans="1:23" ht="15" thickBot="1" x14ac:dyDescent="0.4">
      <c r="A170" s="94"/>
      <c r="B170" s="87" t="s">
        <v>59</v>
      </c>
      <c r="C170" s="152">
        <f>COUNTIFS('Données brutes'!F:F,"But",'Données brutes'!E:E,"LEA",'Données brutes'!G:G,"Jet 7m")</f>
        <v>11</v>
      </c>
      <c r="D170" s="90">
        <f>COUNTIFS('Données brutes'!F:F,"Ar GB",'Données brutes'!E:E,"LEA",'Données brutes'!G:G,"Jet 7m")</f>
        <v>1</v>
      </c>
      <c r="E170" s="90">
        <f>COUNTIFS('Données brutes'!F:F,"HC",'Données brutes'!E:E,"LEA",'Données brutes'!G:G,"Jet 7m")</f>
        <v>1</v>
      </c>
      <c r="F170" s="90">
        <f>COUNTIFS('Données brutes'!F:F,"tir raté NC",'Données brutes'!E:E,"LEA",'Données brutes'!G:G,"Jet 7m")</f>
        <v>0</v>
      </c>
      <c r="G170" s="508"/>
      <c r="H170" s="94"/>
      <c r="I170" s="32" t="s">
        <v>59</v>
      </c>
      <c r="J170" s="91">
        <f t="shared" si="58"/>
        <v>11</v>
      </c>
      <c r="K170" s="90">
        <f t="shared" si="59"/>
        <v>13</v>
      </c>
      <c r="L170" s="92">
        <f t="shared" si="60"/>
        <v>0.84615384615384615</v>
      </c>
      <c r="M170" s="324"/>
      <c r="N170" s="325"/>
      <c r="O170" s="325"/>
      <c r="P170" s="326"/>
      <c r="Q170" s="62"/>
      <c r="R170" s="62"/>
      <c r="S170" s="94"/>
      <c r="T170" s="32" t="s">
        <v>59</v>
      </c>
      <c r="U170" s="91">
        <f t="shared" si="61"/>
        <v>2.75</v>
      </c>
      <c r="V170" s="90">
        <f t="shared" si="62"/>
        <v>3.25</v>
      </c>
      <c r="W170" s="92">
        <f t="shared" si="63"/>
        <v>0.84615384615384615</v>
      </c>
    </row>
    <row r="171" spans="1:23" ht="15" thickBot="1" x14ac:dyDescent="0.4">
      <c r="A171" s="490" t="s">
        <v>312</v>
      </c>
      <c r="B171" s="510"/>
      <c r="C171" s="156">
        <f>C169+C170</f>
        <v>19</v>
      </c>
      <c r="D171" s="156">
        <f t="shared" ref="D171" si="65">D169+D170</f>
        <v>2</v>
      </c>
      <c r="E171" s="156">
        <f t="shared" ref="E171" si="66">E169+E170</f>
        <v>3</v>
      </c>
      <c r="F171" s="156">
        <f t="shared" ref="F171" si="67">F169+F170</f>
        <v>0</v>
      </c>
      <c r="G171" s="509"/>
      <c r="H171" s="490" t="s">
        <v>312</v>
      </c>
      <c r="I171" s="511"/>
      <c r="J171" s="91">
        <f t="shared" si="58"/>
        <v>19</v>
      </c>
      <c r="K171" s="90">
        <f t="shared" si="59"/>
        <v>24</v>
      </c>
      <c r="L171" s="92">
        <f t="shared" si="60"/>
        <v>0.79166666666666663</v>
      </c>
      <c r="M171" s="327"/>
      <c r="N171" s="328"/>
      <c r="O171" s="328"/>
      <c r="P171" s="329"/>
      <c r="Q171" s="122"/>
      <c r="R171" s="122"/>
      <c r="S171" s="490" t="s">
        <v>312</v>
      </c>
      <c r="T171" s="511"/>
      <c r="U171" s="91">
        <f t="shared" si="61"/>
        <v>4.75</v>
      </c>
      <c r="V171" s="90">
        <f t="shared" si="62"/>
        <v>6</v>
      </c>
      <c r="W171" s="92">
        <f t="shared" si="63"/>
        <v>0.79166666666666663</v>
      </c>
    </row>
    <row r="173" spans="1:23" ht="15" thickBot="1" x14ac:dyDescent="0.4"/>
    <row r="174" spans="1:23" ht="26.5" thickBot="1" x14ac:dyDescent="0.4">
      <c r="A174" s="514" t="s">
        <v>369</v>
      </c>
      <c r="B174" s="515"/>
      <c r="C174" s="515"/>
      <c r="D174" s="515"/>
      <c r="E174" s="515"/>
      <c r="F174" s="515"/>
      <c r="G174" s="121"/>
      <c r="H174" s="425" t="s">
        <v>333</v>
      </c>
      <c r="I174" s="425"/>
      <c r="J174" s="425"/>
      <c r="K174" s="425"/>
      <c r="L174" s="425"/>
      <c r="M174" s="309"/>
      <c r="N174" s="309"/>
      <c r="O174" s="309"/>
      <c r="P174" s="309"/>
      <c r="Q174" s="121"/>
      <c r="R174" s="124" t="s">
        <v>335</v>
      </c>
      <c r="S174" s="425" t="s">
        <v>334</v>
      </c>
      <c r="T174" s="425"/>
      <c r="U174" s="425"/>
      <c r="V174" s="425"/>
      <c r="W174" s="426"/>
    </row>
    <row r="175" spans="1:23" ht="29.5" thickBot="1" x14ac:dyDescent="0.4">
      <c r="A175" s="403" t="s">
        <v>5</v>
      </c>
      <c r="B175" s="512"/>
      <c r="C175" s="118" t="s">
        <v>33</v>
      </c>
      <c r="D175" s="118" t="s">
        <v>20</v>
      </c>
      <c r="E175" s="118" t="s">
        <v>10</v>
      </c>
      <c r="F175" s="118" t="s">
        <v>277</v>
      </c>
      <c r="G175" s="62"/>
      <c r="H175" s="513" t="s">
        <v>5</v>
      </c>
      <c r="I175" s="421"/>
      <c r="J175" s="93" t="s">
        <v>33</v>
      </c>
      <c r="K175" s="119" t="s">
        <v>326</v>
      </c>
      <c r="L175" s="120" t="s">
        <v>150</v>
      </c>
      <c r="M175" s="310"/>
      <c r="N175" s="320" t="s">
        <v>33</v>
      </c>
      <c r="O175" s="320" t="s">
        <v>326</v>
      </c>
      <c r="P175" s="321" t="s">
        <v>150</v>
      </c>
      <c r="Q175" s="62"/>
      <c r="R175" s="125">
        <f>'Matchs joués'!B10</f>
        <v>4</v>
      </c>
      <c r="S175" s="513" t="s">
        <v>5</v>
      </c>
      <c r="T175" s="421"/>
      <c r="U175" s="93" t="s">
        <v>33</v>
      </c>
      <c r="V175" s="119" t="s">
        <v>326</v>
      </c>
      <c r="W175" s="120" t="s">
        <v>150</v>
      </c>
    </row>
    <row r="176" spans="1:23" ht="15" thickBot="1" x14ac:dyDescent="0.4">
      <c r="A176" s="407" t="s">
        <v>295</v>
      </c>
      <c r="B176" s="87" t="s">
        <v>15</v>
      </c>
      <c r="C176" s="152">
        <f>COUNTIFS('Données brutes'!F:F,"But",'Données brutes'!E:E,"MAELLE",'Données brutes'!G:G,"ALG")</f>
        <v>0</v>
      </c>
      <c r="D176" s="90">
        <f>COUNTIFS('Données brutes'!F:F,"Ar GB",'Données brutes'!E:E,"MAELLE",'Données brutes'!G:G,"ALG")</f>
        <v>0</v>
      </c>
      <c r="E176" s="90">
        <f>COUNTIFS('Données brutes'!F:F,"HC",'Données brutes'!E:E,"MAELLE",'Données brutes'!G:G,"ALG")</f>
        <v>0</v>
      </c>
      <c r="F176" s="90">
        <f>COUNTIFS('Données brutes'!F:F,"tir raté NC",'Données brutes'!E:E,"MAELLE",'Données brutes'!G:G,"ALG")</f>
        <v>0</v>
      </c>
      <c r="G176" s="121"/>
      <c r="H176" s="407" t="s">
        <v>295</v>
      </c>
      <c r="I176" s="32" t="s">
        <v>15</v>
      </c>
      <c r="J176" s="91">
        <f>$C176</f>
        <v>0</v>
      </c>
      <c r="K176" s="90">
        <f>$C176+$D176+$E176</f>
        <v>0</v>
      </c>
      <c r="L176" s="92" t="e">
        <f>J176/K176</f>
        <v>#DIV/0!</v>
      </c>
      <c r="M176" s="404" t="s">
        <v>295</v>
      </c>
      <c r="N176" s="496" t="s">
        <v>394</v>
      </c>
      <c r="O176" s="496"/>
      <c r="P176" s="497"/>
      <c r="Q176" s="62"/>
      <c r="R176" s="62"/>
      <c r="S176" s="407" t="s">
        <v>295</v>
      </c>
      <c r="T176" s="32" t="s">
        <v>15</v>
      </c>
      <c r="U176" s="91">
        <f>$J176/$R$2</f>
        <v>0</v>
      </c>
      <c r="V176" s="90">
        <f>$K176/$R$2</f>
        <v>0</v>
      </c>
      <c r="W176" s="92" t="e">
        <f>U176/V176</f>
        <v>#DIV/0!</v>
      </c>
    </row>
    <row r="177" spans="1:23" ht="15" thickBot="1" x14ac:dyDescent="0.4">
      <c r="A177" s="404"/>
      <c r="B177" s="13" t="s">
        <v>282</v>
      </c>
      <c r="C177" s="153">
        <f>COUNTIFS('Données brutes'!F:F,"But",'Données brutes'!E:E,"MAELLE",'Données brutes'!G:G,"1 2")</f>
        <v>0</v>
      </c>
      <c r="D177" s="61">
        <f>COUNTIFS('Données brutes'!F:F,"Ar GB",'Données brutes'!E:E,"MAELLE",'Données brutes'!G:G,"1 2")</f>
        <v>1</v>
      </c>
      <c r="E177" s="61">
        <f>COUNTIFS('Données brutes'!F:F,"HC",'Données brutes'!E:E,"MAELLE",'Données brutes'!G:G,"1 2")</f>
        <v>0</v>
      </c>
      <c r="F177" s="90">
        <f>COUNTIFS('Données brutes'!F:F,"tir raté NC",'Données brutes'!E:E,"MAELLE",'Données brutes'!G:G,"1 2")</f>
        <v>1</v>
      </c>
      <c r="G177" s="62"/>
      <c r="H177" s="404"/>
      <c r="I177" s="33" t="s">
        <v>282</v>
      </c>
      <c r="J177" s="91">
        <f t="shared" ref="J177:J196" si="68">$C177</f>
        <v>0</v>
      </c>
      <c r="K177" s="90">
        <f t="shared" ref="K177:K196" si="69">$C177+$D177+$E177</f>
        <v>1</v>
      </c>
      <c r="L177" s="92">
        <f t="shared" ref="L177:L196" si="70">J177/K177</f>
        <v>0</v>
      </c>
      <c r="M177" s="404"/>
      <c r="N177" s="319">
        <f>J176+J182</f>
        <v>0</v>
      </c>
      <c r="O177" s="319">
        <f>K176+K182</f>
        <v>0</v>
      </c>
      <c r="P177" s="322" t="e">
        <f>N177/O177</f>
        <v>#DIV/0!</v>
      </c>
      <c r="Q177" s="62"/>
      <c r="R177" s="62"/>
      <c r="S177" s="404"/>
      <c r="T177" s="33" t="s">
        <v>282</v>
      </c>
      <c r="U177" s="91">
        <f t="shared" ref="U177:U196" si="71">$J177/$R$2</f>
        <v>0</v>
      </c>
      <c r="V177" s="90">
        <f t="shared" ref="V177:V196" si="72">$K177/$R$2</f>
        <v>0.25</v>
      </c>
      <c r="W177" s="92">
        <f t="shared" ref="W177:W196" si="73">U177/V177</f>
        <v>0</v>
      </c>
    </row>
    <row r="178" spans="1:23" ht="15" thickBot="1" x14ac:dyDescent="0.4">
      <c r="A178" s="404"/>
      <c r="B178" s="13" t="s">
        <v>297</v>
      </c>
      <c r="C178" s="153">
        <f>COUNTIFS('Données brutes'!F:F,"But",'Données brutes'!E:E,"MAELLE",'Données brutes'!G:G,"2 3")</f>
        <v>0</v>
      </c>
      <c r="D178" s="61">
        <f>COUNTIFS('Données brutes'!F:F,"Ar GB",'Données brutes'!E:E,"MAELLE",'Données brutes'!G:G,"2 3")</f>
        <v>1</v>
      </c>
      <c r="E178" s="61">
        <f>COUNTIFS('Données brutes'!F:F,"HC",'Données brutes'!E:E,"MAELLE",'Données brutes'!G:G,"2 3")</f>
        <v>0</v>
      </c>
      <c r="F178" s="90">
        <f>COUNTIFS('Données brutes'!F:F,"tir raté NC",'Données brutes'!E:E,"MAELLE",'Données brutes'!G:G,"2 3")</f>
        <v>0</v>
      </c>
      <c r="G178" s="62"/>
      <c r="H178" s="404"/>
      <c r="I178" s="33" t="s">
        <v>297</v>
      </c>
      <c r="J178" s="91">
        <f t="shared" si="68"/>
        <v>0</v>
      </c>
      <c r="K178" s="90">
        <f t="shared" si="69"/>
        <v>1</v>
      </c>
      <c r="L178" s="92">
        <f t="shared" si="70"/>
        <v>0</v>
      </c>
      <c r="M178" s="404"/>
      <c r="N178" s="498" t="s">
        <v>395</v>
      </c>
      <c r="O178" s="498"/>
      <c r="P178" s="499"/>
      <c r="Q178" s="62"/>
      <c r="R178" s="62"/>
      <c r="S178" s="404"/>
      <c r="T178" s="33" t="s">
        <v>297</v>
      </c>
      <c r="U178" s="91">
        <f t="shared" si="71"/>
        <v>0</v>
      </c>
      <c r="V178" s="90">
        <f t="shared" si="72"/>
        <v>0.25</v>
      </c>
      <c r="W178" s="92">
        <f t="shared" si="73"/>
        <v>0</v>
      </c>
    </row>
    <row r="179" spans="1:23" ht="15" thickBot="1" x14ac:dyDescent="0.4">
      <c r="A179" s="404"/>
      <c r="B179" s="13" t="s">
        <v>296</v>
      </c>
      <c r="C179" s="153">
        <f>COUNTIFS('Données brutes'!F:F,"But",'Données brutes'!E:E,"MAELLE",'Données brutes'!G:G,"3 4")</f>
        <v>1</v>
      </c>
      <c r="D179" s="61">
        <f>COUNTIFS('Données brutes'!F:F,"Ar GB",'Données brutes'!E:E,"MAELLE",'Données brutes'!G:G,"3 4")</f>
        <v>0</v>
      </c>
      <c r="E179" s="61">
        <f>COUNTIFS('Données brutes'!F:F,"HC",'Données brutes'!E:E,"MAELLE",'Données brutes'!G:G,"3 4")</f>
        <v>0</v>
      </c>
      <c r="F179" s="90">
        <f>COUNTIFS('Données brutes'!F:F,"tir raté NC",'Données brutes'!E:E,"MAELLE",'Données brutes'!G:G,"3 4")</f>
        <v>0</v>
      </c>
      <c r="G179" s="62"/>
      <c r="H179" s="404"/>
      <c r="I179" s="33" t="s">
        <v>296</v>
      </c>
      <c r="J179" s="91">
        <f t="shared" si="68"/>
        <v>1</v>
      </c>
      <c r="K179" s="90">
        <f t="shared" si="69"/>
        <v>1</v>
      </c>
      <c r="L179" s="92">
        <f t="shared" si="70"/>
        <v>1</v>
      </c>
      <c r="M179" s="404"/>
      <c r="N179" s="319">
        <f>J177+J181</f>
        <v>0</v>
      </c>
      <c r="O179" s="319">
        <f>K177+K181</f>
        <v>1</v>
      </c>
      <c r="P179" s="322">
        <f>N179/O179</f>
        <v>0</v>
      </c>
      <c r="Q179" s="62"/>
      <c r="R179" s="62"/>
      <c r="S179" s="404"/>
      <c r="T179" s="33" t="s">
        <v>296</v>
      </c>
      <c r="U179" s="91">
        <f t="shared" si="71"/>
        <v>0.25</v>
      </c>
      <c r="V179" s="90">
        <f t="shared" si="72"/>
        <v>0.25</v>
      </c>
      <c r="W179" s="92">
        <f t="shared" si="73"/>
        <v>1</v>
      </c>
    </row>
    <row r="180" spans="1:23" ht="15" thickBot="1" x14ac:dyDescent="0.4">
      <c r="A180" s="404"/>
      <c r="B180" s="13" t="s">
        <v>298</v>
      </c>
      <c r="C180" s="153">
        <f>COUNTIFS('Données brutes'!F:F,"But",'Données brutes'!E:E,"MAELLE",'Données brutes'!G:G,"4 5")</f>
        <v>0</v>
      </c>
      <c r="D180" s="61">
        <f>COUNTIFS('Données brutes'!F:F,"Ar GB",'Données brutes'!E:E,"MAELLE",'Données brutes'!G:G,"4 5")</f>
        <v>0</v>
      </c>
      <c r="E180" s="61">
        <f>COUNTIFS('Données brutes'!F:F,"HC",'Données brutes'!E:E,"MAELLE",'Données brutes'!G:G,"4 5")</f>
        <v>0</v>
      </c>
      <c r="F180" s="90">
        <f>COUNTIFS('Données brutes'!F:F,"tir raté NC",'Données brutes'!E:E,"MAELLE",'Données brutes'!G:G,"4 5")</f>
        <v>0</v>
      </c>
      <c r="G180" s="62"/>
      <c r="H180" s="404"/>
      <c r="I180" s="33" t="s">
        <v>298</v>
      </c>
      <c r="J180" s="91">
        <f t="shared" si="68"/>
        <v>0</v>
      </c>
      <c r="K180" s="90">
        <f t="shared" si="69"/>
        <v>0</v>
      </c>
      <c r="L180" s="92" t="e">
        <f t="shared" si="70"/>
        <v>#DIV/0!</v>
      </c>
      <c r="M180" s="404"/>
      <c r="N180" s="498" t="s">
        <v>396</v>
      </c>
      <c r="O180" s="498"/>
      <c r="P180" s="499"/>
      <c r="Q180" s="62"/>
      <c r="R180" s="62"/>
      <c r="S180" s="404"/>
      <c r="T180" s="33" t="s">
        <v>298</v>
      </c>
      <c r="U180" s="91">
        <f t="shared" si="71"/>
        <v>0</v>
      </c>
      <c r="V180" s="90">
        <f t="shared" si="72"/>
        <v>0</v>
      </c>
      <c r="W180" s="92" t="e">
        <f t="shared" si="73"/>
        <v>#DIV/0!</v>
      </c>
    </row>
    <row r="181" spans="1:23" ht="15" thickBot="1" x14ac:dyDescent="0.4">
      <c r="A181" s="404"/>
      <c r="B181" s="13" t="s">
        <v>283</v>
      </c>
      <c r="C181" s="153">
        <f>COUNTIFS('Données brutes'!F:F,"But",'Données brutes'!E:E,"MAELLE",'Données brutes'!G:G,"5 6")</f>
        <v>0</v>
      </c>
      <c r="D181" s="61">
        <f>COUNTIFS('Données brutes'!F:F,"Ar GB",'Données brutes'!E:E,"MAELLE",'Données brutes'!G:G,"5 6")</f>
        <v>0</v>
      </c>
      <c r="E181" s="61">
        <f>COUNTIFS('Données brutes'!F:F,"HC",'Données brutes'!E:E,"MAELLE",'Données brutes'!G:G,"5 6")</f>
        <v>0</v>
      </c>
      <c r="F181" s="90">
        <f>COUNTIFS('Données brutes'!F:F,"tir raté NC",'Données brutes'!E:E,"MAELLE",'Données brutes'!G:G,"5 6")</f>
        <v>0</v>
      </c>
      <c r="G181" s="62"/>
      <c r="H181" s="404"/>
      <c r="I181" s="33" t="s">
        <v>283</v>
      </c>
      <c r="J181" s="91">
        <f t="shared" si="68"/>
        <v>0</v>
      </c>
      <c r="K181" s="90">
        <f t="shared" si="69"/>
        <v>0</v>
      </c>
      <c r="L181" s="92" t="e">
        <f t="shared" si="70"/>
        <v>#DIV/0!</v>
      </c>
      <c r="M181" s="404"/>
      <c r="N181" s="319">
        <f>J178+J179+J180</f>
        <v>1</v>
      </c>
      <c r="O181" s="319">
        <f>K178+K179+K180</f>
        <v>2</v>
      </c>
      <c r="P181" s="322">
        <f>N181/O181</f>
        <v>0.5</v>
      </c>
      <c r="Q181" s="62"/>
      <c r="R181" s="62"/>
      <c r="S181" s="404"/>
      <c r="T181" s="33" t="s">
        <v>283</v>
      </c>
      <c r="U181" s="91">
        <f t="shared" si="71"/>
        <v>0</v>
      </c>
      <c r="V181" s="90">
        <f t="shared" si="72"/>
        <v>0</v>
      </c>
      <c r="W181" s="92" t="e">
        <f t="shared" si="73"/>
        <v>#DIV/0!</v>
      </c>
    </row>
    <row r="182" spans="1:23" ht="15" thickBot="1" x14ac:dyDescent="0.4">
      <c r="A182" s="490"/>
      <c r="B182" s="36" t="s">
        <v>17</v>
      </c>
      <c r="C182" s="154">
        <f>COUNTIFS('Données brutes'!F:F,"But",'Données brutes'!E:E,"MAELLE",'Données brutes'!G:G,"ALD")</f>
        <v>0</v>
      </c>
      <c r="D182" s="155">
        <f>COUNTIFS('Données brutes'!F:F,"Ar GB",'Données brutes'!E:E,"MAELLE",'Données brutes'!G:G,"ALD")</f>
        <v>0</v>
      </c>
      <c r="E182" s="155">
        <f>COUNTIFS('Données brutes'!F:F,"HC",'Données brutes'!E:E,"MAELLE",'Données brutes'!G:G,"ALD")</f>
        <v>0</v>
      </c>
      <c r="F182" s="90">
        <f>COUNTIFS('Données brutes'!F:F,"tir raté NC",'Données brutes'!E:E,"MAELLE",'Données brutes'!G:G,"ALD")</f>
        <v>0</v>
      </c>
      <c r="G182" s="122"/>
      <c r="H182" s="490"/>
      <c r="I182" s="73" t="s">
        <v>17</v>
      </c>
      <c r="J182" s="91">
        <f t="shared" si="68"/>
        <v>0</v>
      </c>
      <c r="K182" s="90">
        <f t="shared" si="69"/>
        <v>0</v>
      </c>
      <c r="L182" s="92" t="e">
        <f t="shared" si="70"/>
        <v>#DIV/0!</v>
      </c>
      <c r="M182" s="404"/>
      <c r="N182" s="325"/>
      <c r="O182" s="325"/>
      <c r="P182" s="326"/>
      <c r="Q182" s="62"/>
      <c r="R182" s="62"/>
      <c r="S182" s="490"/>
      <c r="T182" s="73" t="s">
        <v>17</v>
      </c>
      <c r="U182" s="91">
        <f t="shared" si="71"/>
        <v>0</v>
      </c>
      <c r="V182" s="90">
        <f t="shared" si="72"/>
        <v>0</v>
      </c>
      <c r="W182" s="92" t="e">
        <f t="shared" si="73"/>
        <v>#DIV/0!</v>
      </c>
    </row>
    <row r="183" spans="1:23" ht="15" customHeight="1" thickBot="1" x14ac:dyDescent="0.4">
      <c r="A183" s="491" t="s">
        <v>299</v>
      </c>
      <c r="B183" s="87" t="s">
        <v>301</v>
      </c>
      <c r="C183" s="152">
        <f>COUNTIFS('Données brutes'!F:F,"But",'Données brutes'!E:E,"MAELLE",'Données brutes'!G:G,"Central 7m 9m appui")</f>
        <v>1</v>
      </c>
      <c r="D183" s="90">
        <f>COUNTIFS('Données brutes'!F:F,"Ar GB",'Données brutes'!E:E,"MAELLE",'Données brutes'!G:G,"Central 7m 9m appui")</f>
        <v>1</v>
      </c>
      <c r="E183" s="90">
        <f>COUNTIFS('Données brutes'!F:F,"HC",'Données brutes'!E:E,"MAELLE",'Données brutes'!G:G,"Central 7m 9m appui")</f>
        <v>0</v>
      </c>
      <c r="F183" s="90">
        <f>COUNTIFS('Données brutes'!F:F,"tir raté NC",'Données brutes'!E:E,"MAELLE",'Données brutes'!G:G,"ALD")</f>
        <v>0</v>
      </c>
      <c r="G183" s="121"/>
      <c r="H183" s="491" t="s">
        <v>299</v>
      </c>
      <c r="I183" s="32" t="s">
        <v>301</v>
      </c>
      <c r="J183" s="91">
        <f t="shared" si="68"/>
        <v>1</v>
      </c>
      <c r="K183" s="90">
        <f t="shared" si="69"/>
        <v>2</v>
      </c>
      <c r="L183" s="92">
        <f t="shared" si="70"/>
        <v>0.5</v>
      </c>
      <c r="M183" s="495" t="s">
        <v>299</v>
      </c>
      <c r="N183" s="319">
        <f>SUM(J183:J185)</f>
        <v>1</v>
      </c>
      <c r="O183" s="319">
        <f>SUM(K183:K185)</f>
        <v>2</v>
      </c>
      <c r="P183" s="322">
        <f>N183/O183</f>
        <v>0.5</v>
      </c>
      <c r="Q183" s="62"/>
      <c r="R183" s="62"/>
      <c r="S183" s="491" t="s">
        <v>299</v>
      </c>
      <c r="T183" s="32" t="s">
        <v>301</v>
      </c>
      <c r="U183" s="91">
        <f t="shared" si="71"/>
        <v>0.25</v>
      </c>
      <c r="V183" s="90">
        <f t="shared" si="72"/>
        <v>0.5</v>
      </c>
      <c r="W183" s="92">
        <f t="shared" si="73"/>
        <v>0.5</v>
      </c>
    </row>
    <row r="184" spans="1:23" ht="15" thickBot="1" x14ac:dyDescent="0.4">
      <c r="A184" s="495"/>
      <c r="B184" s="13" t="s">
        <v>302</v>
      </c>
      <c r="C184" s="153">
        <f>COUNTIFS('Données brutes'!F:F,"But",'Données brutes'!E:E,"MAELLE",'Données brutes'!G:G,"7m 9m Ext G appui")</f>
        <v>0</v>
      </c>
      <c r="D184" s="61">
        <f>COUNTIFS('Données brutes'!F:F,"Ar GB",'Données brutes'!E:E,"MAELLE",'Données brutes'!G:G,"7m 9m Ext G appui")</f>
        <v>0</v>
      </c>
      <c r="E184" s="61">
        <f>COUNTIFS('Données brutes'!F:F,"HC",'Données brutes'!E:E,"MAELLE",'Données brutes'!G:G,"7m 9m Ext G appui")</f>
        <v>0</v>
      </c>
      <c r="F184" s="90">
        <f>COUNTIFS('Données brutes'!F:F,"tir raté NC",'Données brutes'!E:E,"MAELLE",'Données brutes'!G:G,"7m 9m Ext G appui")</f>
        <v>0</v>
      </c>
      <c r="G184" s="62"/>
      <c r="H184" s="495"/>
      <c r="I184" s="33" t="s">
        <v>302</v>
      </c>
      <c r="J184" s="91">
        <f t="shared" si="68"/>
        <v>0</v>
      </c>
      <c r="K184" s="90">
        <f t="shared" si="69"/>
        <v>0</v>
      </c>
      <c r="L184" s="92" t="e">
        <f t="shared" si="70"/>
        <v>#DIV/0!</v>
      </c>
      <c r="M184" s="495"/>
      <c r="N184" s="325"/>
      <c r="O184" s="325"/>
      <c r="P184" s="326"/>
      <c r="Q184" s="62"/>
      <c r="R184" s="62"/>
      <c r="S184" s="495"/>
      <c r="T184" s="33" t="s">
        <v>302</v>
      </c>
      <c r="U184" s="91">
        <f t="shared" si="71"/>
        <v>0</v>
      </c>
      <c r="V184" s="90">
        <f t="shared" si="72"/>
        <v>0</v>
      </c>
      <c r="W184" s="92" t="e">
        <f t="shared" si="73"/>
        <v>#DIV/0!</v>
      </c>
    </row>
    <row r="185" spans="1:23" ht="15" thickBot="1" x14ac:dyDescent="0.4">
      <c r="A185" s="492"/>
      <c r="B185" s="36" t="s">
        <v>303</v>
      </c>
      <c r="C185" s="154">
        <f>COUNTIFS('Données brutes'!F:F,"But",'Données brutes'!E:E,"MAELLE",'Données brutes'!G:G,"7m 9m Ext D appui")</f>
        <v>0</v>
      </c>
      <c r="D185" s="155">
        <f>COUNTIFS('Données brutes'!F:F,"Ar GB",'Données brutes'!E:E,"MAELLE",'Données brutes'!G:G,"7m 9m Ext D appui")</f>
        <v>0</v>
      </c>
      <c r="E185" s="155">
        <f>COUNTIFS('Données brutes'!F:F,"HC",'Données brutes'!E:E,"MAELLE",'Données brutes'!G:G,"7m 9m Ext D appui")</f>
        <v>0</v>
      </c>
      <c r="F185" s="90">
        <f>COUNTIFS('Données brutes'!F:F,"tir raté NC",'Données brutes'!E:E,"MAELLE",'Données brutes'!G:G,"ALD")</f>
        <v>0</v>
      </c>
      <c r="G185" s="122"/>
      <c r="H185" s="492"/>
      <c r="I185" s="73" t="s">
        <v>303</v>
      </c>
      <c r="J185" s="91">
        <f t="shared" si="68"/>
        <v>0</v>
      </c>
      <c r="K185" s="90">
        <f t="shared" si="69"/>
        <v>0</v>
      </c>
      <c r="L185" s="92" t="e">
        <f t="shared" si="70"/>
        <v>#DIV/0!</v>
      </c>
      <c r="M185" s="495"/>
      <c r="N185" s="325"/>
      <c r="O185" s="325"/>
      <c r="P185" s="326"/>
      <c r="Q185" s="62"/>
      <c r="R185" s="62"/>
      <c r="S185" s="492"/>
      <c r="T185" s="73" t="s">
        <v>303</v>
      </c>
      <c r="U185" s="91">
        <f t="shared" si="71"/>
        <v>0</v>
      </c>
      <c r="V185" s="90">
        <f t="shared" si="72"/>
        <v>0</v>
      </c>
      <c r="W185" s="92" t="e">
        <f t="shared" si="73"/>
        <v>#DIV/0!</v>
      </c>
    </row>
    <row r="186" spans="1:23" ht="15" customHeight="1" thickBot="1" x14ac:dyDescent="0.4">
      <c r="A186" s="493" t="s">
        <v>300</v>
      </c>
      <c r="B186" s="87" t="s">
        <v>304</v>
      </c>
      <c r="C186" s="152">
        <f>COUNTIFS('Données brutes'!F:F,"But",'Données brutes'!E:E,"MAELLE",'Données brutes'!G:G,"7m 9m central suspension")</f>
        <v>2</v>
      </c>
      <c r="D186" s="90">
        <f>COUNTIFS('Données brutes'!F:F,"Ar GB",'Données brutes'!E:E,"MAELLE",'Données brutes'!G:G,"7m 9m central suspension")</f>
        <v>2</v>
      </c>
      <c r="E186" s="90">
        <f>COUNTIFS('Données brutes'!F:F,"HC",'Données brutes'!E:E,"MAELLE",'Données brutes'!G:G,"7m 9m central suspension")</f>
        <v>1</v>
      </c>
      <c r="F186" s="90">
        <f>COUNTIFS('Données brutes'!F:F,"tir raté NC",'Données brutes'!E:E,"MAELLE",'Données brutes'!G:G,"ALD")</f>
        <v>0</v>
      </c>
      <c r="G186" s="121"/>
      <c r="H186" s="493" t="s">
        <v>300</v>
      </c>
      <c r="I186" s="32" t="s">
        <v>304</v>
      </c>
      <c r="J186" s="91">
        <f t="shared" si="68"/>
        <v>2</v>
      </c>
      <c r="K186" s="90">
        <f t="shared" si="69"/>
        <v>5</v>
      </c>
      <c r="L186" s="92">
        <f t="shared" si="70"/>
        <v>0.4</v>
      </c>
      <c r="M186" s="495" t="s">
        <v>300</v>
      </c>
      <c r="N186" s="319">
        <f>SUM(J186:J188)</f>
        <v>2</v>
      </c>
      <c r="O186" s="319">
        <f>SUM(K186:K188)</f>
        <v>7</v>
      </c>
      <c r="P186" s="322">
        <f>N186/O186</f>
        <v>0.2857142857142857</v>
      </c>
      <c r="Q186" s="62"/>
      <c r="R186" s="62"/>
      <c r="S186" s="493" t="s">
        <v>300</v>
      </c>
      <c r="T186" s="32" t="s">
        <v>304</v>
      </c>
      <c r="U186" s="91">
        <f t="shared" si="71"/>
        <v>0.5</v>
      </c>
      <c r="V186" s="90">
        <f t="shared" si="72"/>
        <v>1.25</v>
      </c>
      <c r="W186" s="92">
        <f t="shared" si="73"/>
        <v>0.4</v>
      </c>
    </row>
    <row r="187" spans="1:23" ht="15" thickBot="1" x14ac:dyDescent="0.4">
      <c r="A187" s="506"/>
      <c r="B187" s="13" t="s">
        <v>305</v>
      </c>
      <c r="C187" s="153">
        <f>COUNTIFS('Données brutes'!F:F,"But",'Données brutes'!E:E,"MAELLE",'Données brutes'!G:G,"7m 9m Ext G suspension")</f>
        <v>0</v>
      </c>
      <c r="D187" s="61">
        <f>COUNTIFS('Données brutes'!F:F,"Ar GB",'Données brutes'!E:E,"MAELLE",'Données brutes'!G:G,"7m 9m Ext G suspension")</f>
        <v>1</v>
      </c>
      <c r="E187" s="61">
        <f>COUNTIFS('Données brutes'!F:F,"HC",'Données brutes'!E:E,"MAELLE",'Données brutes'!G:G,"7m 9m Ext G suspension")</f>
        <v>0</v>
      </c>
      <c r="F187" s="90">
        <f>COUNTIFS('Données brutes'!F:F,"tir raté NC",'Données brutes'!E:E,"MAELLE",'Données brutes'!G:G,"ALD")</f>
        <v>0</v>
      </c>
      <c r="G187" s="62"/>
      <c r="H187" s="506"/>
      <c r="I187" s="33" t="s">
        <v>305</v>
      </c>
      <c r="J187" s="91">
        <f t="shared" si="68"/>
        <v>0</v>
      </c>
      <c r="K187" s="90">
        <f t="shared" si="69"/>
        <v>1</v>
      </c>
      <c r="L187" s="92">
        <f t="shared" si="70"/>
        <v>0</v>
      </c>
      <c r="M187" s="495"/>
      <c r="N187" s="325"/>
      <c r="O187" s="325"/>
      <c r="P187" s="326"/>
      <c r="Q187" s="62"/>
      <c r="R187" s="62"/>
      <c r="S187" s="506"/>
      <c r="T187" s="33" t="s">
        <v>305</v>
      </c>
      <c r="U187" s="91">
        <f t="shared" si="71"/>
        <v>0</v>
      </c>
      <c r="V187" s="90">
        <f t="shared" si="72"/>
        <v>0.25</v>
      </c>
      <c r="W187" s="92">
        <f t="shared" si="73"/>
        <v>0</v>
      </c>
    </row>
    <row r="188" spans="1:23" ht="15" thickBot="1" x14ac:dyDescent="0.4">
      <c r="A188" s="494"/>
      <c r="B188" s="36" t="s">
        <v>306</v>
      </c>
      <c r="C188" s="153">
        <f>COUNTIFS('Données brutes'!F:F,"But",'Données brutes'!E:E,"MAELLE",'Données brutes'!G:G,"7m 9m Ext D suspension")</f>
        <v>0</v>
      </c>
      <c r="D188" s="61">
        <f>COUNTIFS('Données brutes'!F:F,"Ar GB",'Données brutes'!E:E,"MAELLE",'Données brutes'!G:G,"7m 9m Ext D suspension")</f>
        <v>1</v>
      </c>
      <c r="E188" s="61">
        <f>COUNTIFS('Données brutes'!F:F,"HC",'Données brutes'!E:E,"MAELLE",'Données brutes'!G:G,"7m 9m Ext D suspension")</f>
        <v>0</v>
      </c>
      <c r="F188" s="90">
        <f>COUNTIFS('Données brutes'!F:F,"tir raté NC",'Données brutes'!E:E,"MAELLE",'Données brutes'!G:G,"7m 9m Ext D suspension")</f>
        <v>0</v>
      </c>
      <c r="G188" s="122"/>
      <c r="H188" s="494"/>
      <c r="I188" s="73" t="s">
        <v>306</v>
      </c>
      <c r="J188" s="91">
        <f t="shared" si="68"/>
        <v>0</v>
      </c>
      <c r="K188" s="90">
        <f t="shared" si="69"/>
        <v>1</v>
      </c>
      <c r="L188" s="92">
        <f t="shared" si="70"/>
        <v>0</v>
      </c>
      <c r="M188" s="495"/>
      <c r="N188" s="325"/>
      <c r="O188" s="325"/>
      <c r="P188" s="326"/>
      <c r="Q188" s="62"/>
      <c r="R188" s="62"/>
      <c r="S188" s="494"/>
      <c r="T188" s="73" t="s">
        <v>306</v>
      </c>
      <c r="U188" s="91">
        <f t="shared" si="71"/>
        <v>0</v>
      </c>
      <c r="V188" s="90">
        <f t="shared" si="72"/>
        <v>0.25</v>
      </c>
      <c r="W188" s="92">
        <f t="shared" si="73"/>
        <v>0</v>
      </c>
    </row>
    <row r="189" spans="1:23" ht="15" thickBot="1" x14ac:dyDescent="0.4">
      <c r="A189" s="407" t="s">
        <v>146</v>
      </c>
      <c r="B189" s="87" t="s">
        <v>307</v>
      </c>
      <c r="C189" s="152">
        <f>COUNTIFS('Données brutes'!F:F,"But",'Données brutes'!E:E,"MAELLE",'Données brutes'!G:G,"9m G")</f>
        <v>0</v>
      </c>
      <c r="D189" s="90">
        <f>COUNTIFS('Données brutes'!F:F,"Ar GB",'Données brutes'!E:E,"MAELLE",'Données brutes'!G:G,"9m G")</f>
        <v>0</v>
      </c>
      <c r="E189" s="90">
        <f>COUNTIFS('Données brutes'!F:F,"HC",'Données brutes'!E:E,"MAELLE",'Données brutes'!G:G,"9m G")</f>
        <v>0</v>
      </c>
      <c r="F189" s="90">
        <f>COUNTIFS('Données brutes'!F:F,"tir raté NC",'Données brutes'!E:E,"MAELLE",'Données brutes'!G:G,"9m G")</f>
        <v>0</v>
      </c>
      <c r="G189" s="121"/>
      <c r="H189" s="407" t="s">
        <v>146</v>
      </c>
      <c r="I189" s="32" t="s">
        <v>307</v>
      </c>
      <c r="J189" s="91">
        <f t="shared" si="68"/>
        <v>0</v>
      </c>
      <c r="K189" s="90">
        <f t="shared" si="69"/>
        <v>0</v>
      </c>
      <c r="L189" s="92" t="e">
        <f t="shared" si="70"/>
        <v>#DIV/0!</v>
      </c>
      <c r="M189" s="404" t="s">
        <v>146</v>
      </c>
      <c r="N189" s="319">
        <f>SUM(J189:J191)</f>
        <v>0</v>
      </c>
      <c r="O189" s="319">
        <f>SUM(K189:K191)</f>
        <v>0</v>
      </c>
      <c r="P189" s="322" t="e">
        <f>N189/O189</f>
        <v>#DIV/0!</v>
      </c>
      <c r="Q189" s="62"/>
      <c r="R189" s="62"/>
      <c r="S189" s="407" t="s">
        <v>146</v>
      </c>
      <c r="T189" s="32" t="s">
        <v>307</v>
      </c>
      <c r="U189" s="91">
        <f t="shared" si="71"/>
        <v>0</v>
      </c>
      <c r="V189" s="90">
        <f t="shared" si="72"/>
        <v>0</v>
      </c>
      <c r="W189" s="92" t="e">
        <f t="shared" si="73"/>
        <v>#DIV/0!</v>
      </c>
    </row>
    <row r="190" spans="1:23" ht="15" thickBot="1" x14ac:dyDescent="0.4">
      <c r="A190" s="404"/>
      <c r="B190" s="13" t="s">
        <v>308</v>
      </c>
      <c r="C190" s="152">
        <f>COUNTIFS('Données brutes'!F:F,"But",'Données brutes'!E:E,"MAELLE",'Données brutes'!G:G,"9m +")</f>
        <v>0</v>
      </c>
      <c r="D190" s="90">
        <f>COUNTIFS('Données brutes'!F:F,"Ar GB",'Données brutes'!E:E,"MAELLE",'Données brutes'!G:G,"9m +")</f>
        <v>0</v>
      </c>
      <c r="E190" s="90">
        <f>COUNTIFS('Données brutes'!F:F,"HC",'Données brutes'!E:E,"MAELLE",'Données brutes'!G:G,"9m +")</f>
        <v>0</v>
      </c>
      <c r="F190" s="90">
        <f>COUNTIFS('Données brutes'!F:F,"tir raté NC",'Données brutes'!E:E,"MAELLE",'Données brutes'!G:G,"9m +")</f>
        <v>0</v>
      </c>
      <c r="G190" s="62"/>
      <c r="H190" s="404"/>
      <c r="I190" s="33" t="s">
        <v>308</v>
      </c>
      <c r="J190" s="91">
        <f t="shared" si="68"/>
        <v>0</v>
      </c>
      <c r="K190" s="90">
        <f t="shared" si="69"/>
        <v>0</v>
      </c>
      <c r="L190" s="92" t="e">
        <f t="shared" si="70"/>
        <v>#DIV/0!</v>
      </c>
      <c r="M190" s="404"/>
      <c r="N190" s="325"/>
      <c r="O190" s="325"/>
      <c r="P190" s="326"/>
      <c r="Q190" s="62"/>
      <c r="R190" s="62"/>
      <c r="S190" s="404"/>
      <c r="T190" s="33" t="s">
        <v>308</v>
      </c>
      <c r="U190" s="91">
        <f t="shared" si="71"/>
        <v>0</v>
      </c>
      <c r="V190" s="90">
        <f t="shared" si="72"/>
        <v>0</v>
      </c>
      <c r="W190" s="92" t="e">
        <f t="shared" si="73"/>
        <v>#DIV/0!</v>
      </c>
    </row>
    <row r="191" spans="1:23" ht="15" thickBot="1" x14ac:dyDescent="0.4">
      <c r="A191" s="490"/>
      <c r="B191" s="36" t="s">
        <v>309</v>
      </c>
      <c r="C191" s="152">
        <f>COUNTIFS('Données brutes'!F:F,"But",'Données brutes'!E:E,"MAELLE",'Données brutes'!G:G,"9m D")</f>
        <v>0</v>
      </c>
      <c r="D191" s="90">
        <f>COUNTIFS('Données brutes'!F:F,"Ar GB",'Données brutes'!E:E,"MAELLE",'Données brutes'!G:G,"9m D")</f>
        <v>0</v>
      </c>
      <c r="E191" s="90">
        <f>COUNTIFS('Données brutes'!F:F,"HC",'Données brutes'!E:E,"MAELLE",'Données brutes'!G:G,"9m D")</f>
        <v>0</v>
      </c>
      <c r="F191" s="90">
        <f>COUNTIFS('Données brutes'!F:F,"tir raté NC",'Données brutes'!E:E,"MAELLE",'Données brutes'!G:G,"9m D")</f>
        <v>0</v>
      </c>
      <c r="G191" s="122"/>
      <c r="H191" s="490"/>
      <c r="I191" s="73" t="s">
        <v>309</v>
      </c>
      <c r="J191" s="91">
        <f t="shared" si="68"/>
        <v>0</v>
      </c>
      <c r="K191" s="90">
        <f t="shared" si="69"/>
        <v>0</v>
      </c>
      <c r="L191" s="92" t="e">
        <f t="shared" si="70"/>
        <v>#DIV/0!</v>
      </c>
      <c r="M191" s="404"/>
      <c r="N191" s="325"/>
      <c r="O191" s="325"/>
      <c r="P191" s="326"/>
      <c r="Q191" s="62"/>
      <c r="R191" s="62"/>
      <c r="S191" s="490"/>
      <c r="T191" s="73" t="s">
        <v>309</v>
      </c>
      <c r="U191" s="91">
        <f t="shared" si="71"/>
        <v>0</v>
      </c>
      <c r="V191" s="90">
        <f t="shared" si="72"/>
        <v>0</v>
      </c>
      <c r="W191" s="92" t="e">
        <f t="shared" si="73"/>
        <v>#DIV/0!</v>
      </c>
    </row>
    <row r="192" spans="1:23" ht="15" customHeight="1" thickBot="1" x14ac:dyDescent="0.4">
      <c r="A192" s="493" t="s">
        <v>310</v>
      </c>
      <c r="B192" s="87" t="s">
        <v>22</v>
      </c>
      <c r="C192" s="152">
        <f>COUNTIFS('Données brutes'!F:F,"But",'Données brutes'!E:E,"MAELLE",'Données brutes'!G:G,"But vide")</f>
        <v>0</v>
      </c>
      <c r="D192" s="90">
        <f>COUNTIFS('Données brutes'!F:F,"Ar GB",'Données brutes'!E:E,"MAELLE",'Données brutes'!G:G,"But vide")</f>
        <v>0</v>
      </c>
      <c r="E192" s="90">
        <f>COUNTIFS('Données brutes'!F:F,"HC",'Données brutes'!E:E,"MAELLE",'Données brutes'!G:G,"But vide")</f>
        <v>0</v>
      </c>
      <c r="F192" s="90">
        <f>COUNTIFS('Données brutes'!F:F,"tir raté NC",'Données brutes'!E:E,"MAELLE",'Données brutes'!G:G,"But vide")</f>
        <v>0</v>
      </c>
      <c r="G192" s="121"/>
      <c r="H192" s="493" t="s">
        <v>310</v>
      </c>
      <c r="I192" s="32" t="s">
        <v>22</v>
      </c>
      <c r="J192" s="91">
        <f t="shared" si="68"/>
        <v>0</v>
      </c>
      <c r="K192" s="90">
        <f t="shared" si="69"/>
        <v>0</v>
      </c>
      <c r="L192" s="92" t="e">
        <f t="shared" si="70"/>
        <v>#DIV/0!</v>
      </c>
      <c r="M192" s="495" t="s">
        <v>310</v>
      </c>
      <c r="N192" s="319">
        <f>J192+J193</f>
        <v>1</v>
      </c>
      <c r="O192" s="319">
        <f>K192+K193</f>
        <v>1</v>
      </c>
      <c r="P192" s="322">
        <f>N192/O192</f>
        <v>1</v>
      </c>
      <c r="Q192" s="62"/>
      <c r="R192" s="62"/>
      <c r="S192" s="493" t="s">
        <v>310</v>
      </c>
      <c r="T192" s="32" t="s">
        <v>22</v>
      </c>
      <c r="U192" s="91">
        <f t="shared" si="71"/>
        <v>0</v>
      </c>
      <c r="V192" s="90">
        <f t="shared" si="72"/>
        <v>0</v>
      </c>
      <c r="W192" s="92" t="e">
        <f t="shared" si="73"/>
        <v>#DIV/0!</v>
      </c>
    </row>
    <row r="193" spans="1:23" ht="15" thickBot="1" x14ac:dyDescent="0.4">
      <c r="A193" s="494"/>
      <c r="B193" s="36" t="s">
        <v>12</v>
      </c>
      <c r="C193" s="152">
        <f>COUNTIFS('Données brutes'!F:F,"But",'Données brutes'!E:E,"MAELLE",'Données brutes'!G:G,"CA MB")</f>
        <v>1</v>
      </c>
      <c r="D193" s="90">
        <f>COUNTIFS('Données brutes'!F:F,"Ar GB",'Données brutes'!E:E,"MAELLE",'Données brutes'!G:G,"CA MB")</f>
        <v>0</v>
      </c>
      <c r="E193" s="90">
        <f>COUNTIFS('Données brutes'!F:F,"HC",'Données brutes'!E:E,"MAELLE",'Données brutes'!G:G,"CA MB")</f>
        <v>0</v>
      </c>
      <c r="F193" s="90">
        <f>COUNTIFS('Données brutes'!F:F,"tir raté NC",'Données brutes'!E:E,"MAELLE",'Données brutes'!G:G,"CA MB")</f>
        <v>0</v>
      </c>
      <c r="G193" s="122"/>
      <c r="H193" s="494"/>
      <c r="I193" s="73" t="s">
        <v>12</v>
      </c>
      <c r="J193" s="91">
        <f t="shared" si="68"/>
        <v>1</v>
      </c>
      <c r="K193" s="90">
        <f t="shared" si="69"/>
        <v>1</v>
      </c>
      <c r="L193" s="92">
        <f t="shared" si="70"/>
        <v>1</v>
      </c>
      <c r="M193" s="495"/>
      <c r="N193" s="325"/>
      <c r="O193" s="325"/>
      <c r="P193" s="326"/>
      <c r="Q193" s="62"/>
      <c r="R193" s="62"/>
      <c r="S193" s="494"/>
      <c r="T193" s="73" t="s">
        <v>12</v>
      </c>
      <c r="U193" s="91">
        <f t="shared" si="71"/>
        <v>0.25</v>
      </c>
      <c r="V193" s="90">
        <f t="shared" si="72"/>
        <v>0.25</v>
      </c>
      <c r="W193" s="92">
        <f t="shared" si="73"/>
        <v>1</v>
      </c>
    </row>
    <row r="194" spans="1:23" ht="15" thickBot="1" x14ac:dyDescent="0.4">
      <c r="A194" s="488" t="s">
        <v>311</v>
      </c>
      <c r="B194" s="507"/>
      <c r="C194" s="156">
        <f>SUM(C176:C193)</f>
        <v>5</v>
      </c>
      <c r="D194" s="157">
        <f t="shared" ref="D194:E194" si="74">SUM(D176:D193)</f>
        <v>7</v>
      </c>
      <c r="E194" s="157">
        <f t="shared" si="74"/>
        <v>1</v>
      </c>
      <c r="F194" s="157">
        <f>SUM(F176:F189)</f>
        <v>1</v>
      </c>
      <c r="G194" s="123"/>
      <c r="H194" s="488" t="s">
        <v>311</v>
      </c>
      <c r="I194" s="489"/>
      <c r="J194" s="91">
        <f t="shared" si="68"/>
        <v>5</v>
      </c>
      <c r="K194" s="90">
        <f t="shared" si="69"/>
        <v>13</v>
      </c>
      <c r="L194" s="92">
        <f t="shared" si="70"/>
        <v>0.38461538461538464</v>
      </c>
      <c r="M194" s="324"/>
      <c r="N194" s="325"/>
      <c r="O194" s="325"/>
      <c r="P194" s="326"/>
      <c r="Q194" s="62"/>
      <c r="R194" s="62"/>
      <c r="S194" s="488" t="s">
        <v>311</v>
      </c>
      <c r="T194" s="489"/>
      <c r="U194" s="91">
        <f t="shared" si="71"/>
        <v>1.25</v>
      </c>
      <c r="V194" s="90">
        <f t="shared" si="72"/>
        <v>3.25</v>
      </c>
      <c r="W194" s="92">
        <f t="shared" si="73"/>
        <v>0.38461538461538464</v>
      </c>
    </row>
    <row r="195" spans="1:23" ht="15" thickBot="1" x14ac:dyDescent="0.4">
      <c r="A195" s="94"/>
      <c r="B195" s="87" t="s">
        <v>59</v>
      </c>
      <c r="C195" s="152">
        <f>COUNTIFS('Données brutes'!F:F,"But",'Données brutes'!E:E,"MAELLE",'Données brutes'!G:G,"Jet 7m")</f>
        <v>2</v>
      </c>
      <c r="D195" s="90">
        <f>COUNTIFS('Données brutes'!F:F,"Ar GB",'Données brutes'!E:E,"MAELLE",'Données brutes'!G:G,"Jet 7m")</f>
        <v>0</v>
      </c>
      <c r="E195" s="90">
        <f>COUNTIFS('Données brutes'!F:F,"HC",'Données brutes'!E:E,"MAELLE",'Données brutes'!G:G,"Jet 7m")</f>
        <v>0</v>
      </c>
      <c r="F195" s="90">
        <f>COUNTIFS('Données brutes'!F:F,"tir raté NC",'Données brutes'!E:E,"MAELLE",'Données brutes'!G:G,"Jet 7m")</f>
        <v>0</v>
      </c>
      <c r="G195" s="508"/>
      <c r="H195" s="94"/>
      <c r="I195" s="32" t="s">
        <v>59</v>
      </c>
      <c r="J195" s="91">
        <f t="shared" si="68"/>
        <v>2</v>
      </c>
      <c r="K195" s="90">
        <f t="shared" si="69"/>
        <v>2</v>
      </c>
      <c r="L195" s="92">
        <f t="shared" si="70"/>
        <v>1</v>
      </c>
      <c r="M195" s="324"/>
      <c r="N195" s="325"/>
      <c r="O195" s="325"/>
      <c r="P195" s="326"/>
      <c r="Q195" s="62"/>
      <c r="R195" s="62"/>
      <c r="S195" s="94"/>
      <c r="T195" s="32" t="s">
        <v>59</v>
      </c>
      <c r="U195" s="91">
        <f t="shared" si="71"/>
        <v>0.5</v>
      </c>
      <c r="V195" s="90">
        <f t="shared" si="72"/>
        <v>0.5</v>
      </c>
      <c r="W195" s="92">
        <f t="shared" si="73"/>
        <v>1</v>
      </c>
    </row>
    <row r="196" spans="1:23" ht="15" thickBot="1" x14ac:dyDescent="0.4">
      <c r="A196" s="490" t="s">
        <v>312</v>
      </c>
      <c r="B196" s="510"/>
      <c r="C196" s="156">
        <f>C194+C195</f>
        <v>7</v>
      </c>
      <c r="D196" s="156">
        <f t="shared" ref="D196" si="75">D194+D195</f>
        <v>7</v>
      </c>
      <c r="E196" s="156">
        <f t="shared" ref="E196" si="76">E194+E195</f>
        <v>1</v>
      </c>
      <c r="F196" s="156">
        <f t="shared" ref="F196" si="77">F194+F195</f>
        <v>1</v>
      </c>
      <c r="G196" s="509"/>
      <c r="H196" s="490" t="s">
        <v>312</v>
      </c>
      <c r="I196" s="511"/>
      <c r="J196" s="91">
        <f t="shared" si="68"/>
        <v>7</v>
      </c>
      <c r="K196" s="90">
        <f t="shared" si="69"/>
        <v>15</v>
      </c>
      <c r="L196" s="92">
        <f t="shared" si="70"/>
        <v>0.46666666666666667</v>
      </c>
      <c r="M196" s="327"/>
      <c r="N196" s="328"/>
      <c r="O196" s="328"/>
      <c r="P196" s="329"/>
      <c r="Q196" s="122"/>
      <c r="R196" s="122"/>
      <c r="S196" s="490" t="s">
        <v>312</v>
      </c>
      <c r="T196" s="511"/>
      <c r="U196" s="91">
        <f t="shared" si="71"/>
        <v>1.75</v>
      </c>
      <c r="V196" s="90">
        <f t="shared" si="72"/>
        <v>3.75</v>
      </c>
      <c r="W196" s="92">
        <f t="shared" si="73"/>
        <v>0.46666666666666667</v>
      </c>
    </row>
    <row r="198" spans="1:23" ht="15" thickBot="1" x14ac:dyDescent="0.4"/>
    <row r="199" spans="1:23" ht="26.5" thickBot="1" x14ac:dyDescent="0.4">
      <c r="A199" s="514" t="s">
        <v>370</v>
      </c>
      <c r="B199" s="515"/>
      <c r="C199" s="515"/>
      <c r="D199" s="515"/>
      <c r="E199" s="515"/>
      <c r="F199" s="515"/>
      <c r="G199" s="121"/>
      <c r="H199" s="425" t="s">
        <v>333</v>
      </c>
      <c r="I199" s="425"/>
      <c r="J199" s="425"/>
      <c r="K199" s="425"/>
      <c r="L199" s="425"/>
      <c r="M199" s="309"/>
      <c r="N199" s="309"/>
      <c r="O199" s="309"/>
      <c r="P199" s="309"/>
      <c r="Q199" s="121"/>
      <c r="R199" s="124" t="s">
        <v>335</v>
      </c>
      <c r="S199" s="425" t="s">
        <v>334</v>
      </c>
      <c r="T199" s="425"/>
      <c r="U199" s="425"/>
      <c r="V199" s="425"/>
      <c r="W199" s="426"/>
    </row>
    <row r="200" spans="1:23" ht="29.5" thickBot="1" x14ac:dyDescent="0.4">
      <c r="A200" s="403" t="s">
        <v>5</v>
      </c>
      <c r="B200" s="512"/>
      <c r="C200" s="118" t="s">
        <v>33</v>
      </c>
      <c r="D200" s="118" t="s">
        <v>20</v>
      </c>
      <c r="E200" s="118" t="s">
        <v>10</v>
      </c>
      <c r="F200" s="118" t="s">
        <v>277</v>
      </c>
      <c r="G200" s="62"/>
      <c r="H200" s="513" t="s">
        <v>5</v>
      </c>
      <c r="I200" s="421"/>
      <c r="J200" s="93" t="s">
        <v>33</v>
      </c>
      <c r="K200" s="119" t="s">
        <v>326</v>
      </c>
      <c r="L200" s="120" t="s">
        <v>150</v>
      </c>
      <c r="M200" s="310"/>
      <c r="N200" s="320" t="s">
        <v>33</v>
      </c>
      <c r="O200" s="320" t="s">
        <v>326</v>
      </c>
      <c r="P200" s="321" t="s">
        <v>150</v>
      </c>
      <c r="Q200" s="62"/>
      <c r="R200" s="125">
        <f>'Matchs joués'!B11</f>
        <v>4</v>
      </c>
      <c r="S200" s="513" t="s">
        <v>5</v>
      </c>
      <c r="T200" s="421"/>
      <c r="U200" s="93" t="s">
        <v>33</v>
      </c>
      <c r="V200" s="119" t="s">
        <v>326</v>
      </c>
      <c r="W200" s="120" t="s">
        <v>150</v>
      </c>
    </row>
    <row r="201" spans="1:23" ht="15" thickBot="1" x14ac:dyDescent="0.4">
      <c r="A201" s="407" t="s">
        <v>295</v>
      </c>
      <c r="B201" s="87" t="s">
        <v>15</v>
      </c>
      <c r="C201" s="152">
        <f>COUNTIFS('Données brutes'!F:F,"But",'Données brutes'!E:E,"KIM",'Données brutes'!G:G,"ALG")</f>
        <v>0</v>
      </c>
      <c r="D201" s="90">
        <f>COUNTIFS('Données brutes'!F:F,"Ar GB",'Données brutes'!E:E,"KIM",'Données brutes'!G:G,"ALG")</f>
        <v>0</v>
      </c>
      <c r="E201" s="90">
        <f>COUNTIFS('Données brutes'!F:F,"HC",'Données brutes'!E:E,"KIM",'Données brutes'!G:G,"ALG")</f>
        <v>0</v>
      </c>
      <c r="F201" s="90">
        <f>COUNTIFS('Données brutes'!F:F,"tir raté NC",'Données brutes'!E:E,"KIM",'Données brutes'!G:G,"ALG")</f>
        <v>0</v>
      </c>
      <c r="G201" s="121"/>
      <c r="H201" s="407" t="s">
        <v>295</v>
      </c>
      <c r="I201" s="32" t="s">
        <v>15</v>
      </c>
      <c r="J201" s="91">
        <f>$C201</f>
        <v>0</v>
      </c>
      <c r="K201" s="90">
        <f>$C201+$D201+$E201</f>
        <v>0</v>
      </c>
      <c r="L201" s="92" t="e">
        <f>J201/K201</f>
        <v>#DIV/0!</v>
      </c>
      <c r="M201" s="404" t="s">
        <v>295</v>
      </c>
      <c r="N201" s="496" t="s">
        <v>394</v>
      </c>
      <c r="O201" s="496"/>
      <c r="P201" s="497"/>
      <c r="Q201" s="62"/>
      <c r="R201" s="62"/>
      <c r="S201" s="407" t="s">
        <v>295</v>
      </c>
      <c r="T201" s="32" t="s">
        <v>15</v>
      </c>
      <c r="U201" s="91">
        <f>$J201/$R$2</f>
        <v>0</v>
      </c>
      <c r="V201" s="90">
        <f>$K201/$R$2</f>
        <v>0</v>
      </c>
      <c r="W201" s="92" t="e">
        <f>U201/V201</f>
        <v>#DIV/0!</v>
      </c>
    </row>
    <row r="202" spans="1:23" ht="15" thickBot="1" x14ac:dyDescent="0.4">
      <c r="A202" s="404"/>
      <c r="B202" s="13" t="s">
        <v>282</v>
      </c>
      <c r="C202" s="153">
        <f>COUNTIFS('Données brutes'!F:F,"But",'Données brutes'!E:E,"KIM",'Données brutes'!G:G,"1 2")</f>
        <v>1</v>
      </c>
      <c r="D202" s="61">
        <f>COUNTIFS('Données brutes'!F:F,"Ar GB",'Données brutes'!E:E,"KIM",'Données brutes'!G:G,"1 2")</f>
        <v>1</v>
      </c>
      <c r="E202" s="61">
        <f>COUNTIFS('Données brutes'!F:F,"HC",'Données brutes'!E:E,"KIM",'Données brutes'!G:G,"1 2")</f>
        <v>0</v>
      </c>
      <c r="F202" s="90">
        <f>COUNTIFS('Données brutes'!F:F,"tir raté NC",'Données brutes'!E:E,"KIM",'Données brutes'!G:G,"1 2")</f>
        <v>0</v>
      </c>
      <c r="G202" s="62"/>
      <c r="H202" s="404"/>
      <c r="I202" s="33" t="s">
        <v>282</v>
      </c>
      <c r="J202" s="91">
        <f t="shared" ref="J202:J221" si="78">$C202</f>
        <v>1</v>
      </c>
      <c r="K202" s="90">
        <f t="shared" ref="K202:K221" si="79">$C202+$D202+$E202</f>
        <v>2</v>
      </c>
      <c r="L202" s="92">
        <f t="shared" ref="L202:L221" si="80">J202/K202</f>
        <v>0.5</v>
      </c>
      <c r="M202" s="404"/>
      <c r="N202" s="319">
        <f>J201+J207</f>
        <v>0</v>
      </c>
      <c r="O202" s="319">
        <f>K201+K207</f>
        <v>0</v>
      </c>
      <c r="P202" s="322" t="e">
        <f>N202/O202</f>
        <v>#DIV/0!</v>
      </c>
      <c r="Q202" s="62"/>
      <c r="R202" s="62"/>
      <c r="S202" s="404"/>
      <c r="T202" s="33" t="s">
        <v>282</v>
      </c>
      <c r="U202" s="91">
        <f t="shared" ref="U202:U221" si="81">$J202/$R$2</f>
        <v>0.25</v>
      </c>
      <c r="V202" s="90">
        <f t="shared" ref="V202:V221" si="82">$K202/$R$2</f>
        <v>0.5</v>
      </c>
      <c r="W202" s="92">
        <f t="shared" ref="W202:W221" si="83">U202/V202</f>
        <v>0.5</v>
      </c>
    </row>
    <row r="203" spans="1:23" ht="15" thickBot="1" x14ac:dyDescent="0.4">
      <c r="A203" s="404"/>
      <c r="B203" s="13" t="s">
        <v>297</v>
      </c>
      <c r="C203" s="153">
        <f>COUNTIFS('Données brutes'!F:F,"But",'Données brutes'!E:E,"KIM",'Données brutes'!G:G,"2 3")</f>
        <v>0</v>
      </c>
      <c r="D203" s="61">
        <f>COUNTIFS('Données brutes'!F:F,"Ar GB",'Données brutes'!E:E,"KIM",'Données brutes'!G:G,"2 3")</f>
        <v>1</v>
      </c>
      <c r="E203" s="61">
        <f>COUNTIFS('Données brutes'!F:F,"HC",'Données brutes'!E:E,"KIM",'Données brutes'!G:G,"2 3")</f>
        <v>0</v>
      </c>
      <c r="F203" s="90">
        <f>COUNTIFS('Données brutes'!F:F,"tir raté NC",'Données brutes'!E:E,"KIM",'Données brutes'!G:G,"2 3")</f>
        <v>0</v>
      </c>
      <c r="G203" s="62"/>
      <c r="H203" s="404"/>
      <c r="I203" s="33" t="s">
        <v>297</v>
      </c>
      <c r="J203" s="91">
        <f t="shared" si="78"/>
        <v>0</v>
      </c>
      <c r="K203" s="90">
        <f t="shared" si="79"/>
        <v>1</v>
      </c>
      <c r="L203" s="92">
        <f t="shared" si="80"/>
        <v>0</v>
      </c>
      <c r="M203" s="404"/>
      <c r="N203" s="498" t="s">
        <v>395</v>
      </c>
      <c r="O203" s="498"/>
      <c r="P203" s="499"/>
      <c r="Q203" s="62"/>
      <c r="R203" s="62"/>
      <c r="S203" s="404"/>
      <c r="T203" s="33" t="s">
        <v>297</v>
      </c>
      <c r="U203" s="91">
        <f t="shared" si="81"/>
        <v>0</v>
      </c>
      <c r="V203" s="90">
        <f t="shared" si="82"/>
        <v>0.25</v>
      </c>
      <c r="W203" s="92">
        <f t="shared" si="83"/>
        <v>0</v>
      </c>
    </row>
    <row r="204" spans="1:23" ht="15" thickBot="1" x14ac:dyDescent="0.4">
      <c r="A204" s="404"/>
      <c r="B204" s="13" t="s">
        <v>296</v>
      </c>
      <c r="C204" s="153">
        <f>COUNTIFS('Données brutes'!F:F,"But",'Données brutes'!E:E,"KIM",'Données brutes'!G:G,"3 4")</f>
        <v>0</v>
      </c>
      <c r="D204" s="61">
        <f>COUNTIFS('Données brutes'!F:F,"Ar GB",'Données brutes'!E:E,"KIM",'Données brutes'!G:G,"3 4")</f>
        <v>0</v>
      </c>
      <c r="E204" s="61">
        <f>COUNTIFS('Données brutes'!F:F,"HC",'Données brutes'!E:E,"KIM",'Données brutes'!G:G,"3 4")</f>
        <v>0</v>
      </c>
      <c r="F204" s="90">
        <f>COUNTIFS('Données brutes'!F:F,"tir raté NC",'Données brutes'!E:E,"KIM",'Données brutes'!G:G,"3 4")</f>
        <v>0</v>
      </c>
      <c r="G204" s="62"/>
      <c r="H204" s="404"/>
      <c r="I204" s="33" t="s">
        <v>296</v>
      </c>
      <c r="J204" s="91">
        <f t="shared" si="78"/>
        <v>0</v>
      </c>
      <c r="K204" s="90">
        <f t="shared" si="79"/>
        <v>0</v>
      </c>
      <c r="L204" s="92" t="e">
        <f t="shared" si="80"/>
        <v>#DIV/0!</v>
      </c>
      <c r="M204" s="404"/>
      <c r="N204" s="319">
        <f>J202+J206</f>
        <v>5</v>
      </c>
      <c r="O204" s="319">
        <f>K202+K206</f>
        <v>6</v>
      </c>
      <c r="P204" s="322">
        <f>N204/O204</f>
        <v>0.83333333333333337</v>
      </c>
      <c r="Q204" s="62"/>
      <c r="R204" s="62"/>
      <c r="S204" s="404"/>
      <c r="T204" s="33" t="s">
        <v>296</v>
      </c>
      <c r="U204" s="91">
        <f t="shared" si="81"/>
        <v>0</v>
      </c>
      <c r="V204" s="90">
        <f t="shared" si="82"/>
        <v>0</v>
      </c>
      <c r="W204" s="92" t="e">
        <f t="shared" si="83"/>
        <v>#DIV/0!</v>
      </c>
    </row>
    <row r="205" spans="1:23" ht="15" thickBot="1" x14ac:dyDescent="0.4">
      <c r="A205" s="404"/>
      <c r="B205" s="13" t="s">
        <v>298</v>
      </c>
      <c r="C205" s="153">
        <f>COUNTIFS('Données brutes'!F:F,"But",'Données brutes'!E:E,"KIM",'Données brutes'!G:G,"4 5")</f>
        <v>1</v>
      </c>
      <c r="D205" s="61">
        <f>COUNTIFS('Données brutes'!F:F,"Ar GB",'Données brutes'!E:E,"KIM",'Données brutes'!G:G,"4 5")</f>
        <v>0</v>
      </c>
      <c r="E205" s="61">
        <f>COUNTIFS('Données brutes'!F:F,"HC",'Données brutes'!E:E,"KIM",'Données brutes'!G:G,"4 5")</f>
        <v>0</v>
      </c>
      <c r="F205" s="90">
        <f>COUNTIFS('Données brutes'!F:F,"tir raté NC",'Données brutes'!E:E,"KIM",'Données brutes'!G:G,"4 5")</f>
        <v>0</v>
      </c>
      <c r="G205" s="62"/>
      <c r="H205" s="404"/>
      <c r="I205" s="33" t="s">
        <v>298</v>
      </c>
      <c r="J205" s="91">
        <f t="shared" si="78"/>
        <v>1</v>
      </c>
      <c r="K205" s="90">
        <f t="shared" si="79"/>
        <v>1</v>
      </c>
      <c r="L205" s="92">
        <f t="shared" si="80"/>
        <v>1</v>
      </c>
      <c r="M205" s="404"/>
      <c r="N205" s="498" t="s">
        <v>396</v>
      </c>
      <c r="O205" s="498"/>
      <c r="P205" s="499"/>
      <c r="Q205" s="62"/>
      <c r="R205" s="62"/>
      <c r="S205" s="404"/>
      <c r="T205" s="33" t="s">
        <v>298</v>
      </c>
      <c r="U205" s="91">
        <f t="shared" si="81"/>
        <v>0.25</v>
      </c>
      <c r="V205" s="90">
        <f t="shared" si="82"/>
        <v>0.25</v>
      </c>
      <c r="W205" s="92">
        <f t="shared" si="83"/>
        <v>1</v>
      </c>
    </row>
    <row r="206" spans="1:23" ht="15" thickBot="1" x14ac:dyDescent="0.4">
      <c r="A206" s="404"/>
      <c r="B206" s="13" t="s">
        <v>283</v>
      </c>
      <c r="C206" s="153">
        <f>COUNTIFS('Données brutes'!F:F,"But",'Données brutes'!E:E,"KIM",'Données brutes'!G:G,"5 6")</f>
        <v>4</v>
      </c>
      <c r="D206" s="61">
        <f>COUNTIFS('Données brutes'!F:F,"Ar GB",'Données brutes'!E:E,"KIM",'Données brutes'!G:G,"5 6")</f>
        <v>0</v>
      </c>
      <c r="E206" s="61">
        <f>COUNTIFS('Données brutes'!F:F,"HC",'Données brutes'!E:E,"KIM",'Données brutes'!G:G,"5 6")</f>
        <v>0</v>
      </c>
      <c r="F206" s="90">
        <f>COUNTIFS('Données brutes'!F:F,"tir raté NC",'Données brutes'!E:E,"KIM",'Données brutes'!G:G,"5 6")</f>
        <v>0</v>
      </c>
      <c r="G206" s="62"/>
      <c r="H206" s="404"/>
      <c r="I206" s="33" t="s">
        <v>283</v>
      </c>
      <c r="J206" s="91">
        <f t="shared" si="78"/>
        <v>4</v>
      </c>
      <c r="K206" s="90">
        <f t="shared" si="79"/>
        <v>4</v>
      </c>
      <c r="L206" s="92">
        <f t="shared" si="80"/>
        <v>1</v>
      </c>
      <c r="M206" s="404"/>
      <c r="N206" s="319">
        <f>J203+J204+J205</f>
        <v>1</v>
      </c>
      <c r="O206" s="319">
        <f>K203+K204+K205</f>
        <v>2</v>
      </c>
      <c r="P206" s="322">
        <f>N206/O206</f>
        <v>0.5</v>
      </c>
      <c r="Q206" s="62"/>
      <c r="R206" s="62"/>
      <c r="S206" s="404"/>
      <c r="T206" s="33" t="s">
        <v>283</v>
      </c>
      <c r="U206" s="91">
        <f t="shared" si="81"/>
        <v>1</v>
      </c>
      <c r="V206" s="90">
        <f t="shared" si="82"/>
        <v>1</v>
      </c>
      <c r="W206" s="92">
        <f t="shared" si="83"/>
        <v>1</v>
      </c>
    </row>
    <row r="207" spans="1:23" ht="15" thickBot="1" x14ac:dyDescent="0.4">
      <c r="A207" s="490"/>
      <c r="B207" s="36" t="s">
        <v>17</v>
      </c>
      <c r="C207" s="154">
        <f>COUNTIFS('Données brutes'!F:F,"But",'Données brutes'!E:E,"KIM",'Données brutes'!G:G,"ALD")</f>
        <v>0</v>
      </c>
      <c r="D207" s="155">
        <f>COUNTIFS('Données brutes'!F:F,"Ar GB",'Données brutes'!E:E,"KIM",'Données brutes'!G:G,"ALD")</f>
        <v>0</v>
      </c>
      <c r="E207" s="155">
        <f>COUNTIFS('Données brutes'!F:F,"HC",'Données brutes'!E:E,"KIM",'Données brutes'!G:G,"ALD")</f>
        <v>0</v>
      </c>
      <c r="F207" s="90">
        <f>COUNTIFS('Données brutes'!F:F,"tir raté NC",'Données brutes'!E:E,"KIM",'Données brutes'!G:G,"ALD")</f>
        <v>0</v>
      </c>
      <c r="G207" s="122"/>
      <c r="H207" s="490"/>
      <c r="I207" s="73" t="s">
        <v>17</v>
      </c>
      <c r="J207" s="91">
        <f t="shared" si="78"/>
        <v>0</v>
      </c>
      <c r="K207" s="90">
        <f t="shared" si="79"/>
        <v>0</v>
      </c>
      <c r="L207" s="92" t="e">
        <f t="shared" si="80"/>
        <v>#DIV/0!</v>
      </c>
      <c r="M207" s="404"/>
      <c r="N207" s="325"/>
      <c r="O207" s="325"/>
      <c r="P207" s="326"/>
      <c r="Q207" s="62"/>
      <c r="R207" s="62"/>
      <c r="S207" s="490"/>
      <c r="T207" s="73" t="s">
        <v>17</v>
      </c>
      <c r="U207" s="91">
        <f t="shared" si="81"/>
        <v>0</v>
      </c>
      <c r="V207" s="90">
        <f t="shared" si="82"/>
        <v>0</v>
      </c>
      <c r="W207" s="92" t="e">
        <f t="shared" si="83"/>
        <v>#DIV/0!</v>
      </c>
    </row>
    <row r="208" spans="1:23" ht="15" customHeight="1" thickBot="1" x14ac:dyDescent="0.4">
      <c r="A208" s="491" t="s">
        <v>299</v>
      </c>
      <c r="B208" s="87" t="s">
        <v>301</v>
      </c>
      <c r="C208" s="152">
        <f>COUNTIFS('Données brutes'!F:F,"But",'Données brutes'!E:E,"KIM",'Données brutes'!G:G,"Central 7m 9m appui")</f>
        <v>0</v>
      </c>
      <c r="D208" s="90">
        <f>COUNTIFS('Données brutes'!F:F,"Ar GB",'Données brutes'!E:E,"KIM",'Données brutes'!G:G,"Central 7m 9m appui")</f>
        <v>0</v>
      </c>
      <c r="E208" s="90">
        <f>COUNTIFS('Données brutes'!F:F,"HC",'Données brutes'!E:E,"KIM",'Données brutes'!G:G,"Central 7m 9m appui")</f>
        <v>2</v>
      </c>
      <c r="F208" s="90">
        <f>COUNTIFS('Données brutes'!F:F,"tir raté NC",'Données brutes'!E:E,"KIM",'Données brutes'!G:G,"ALD")</f>
        <v>0</v>
      </c>
      <c r="G208" s="121"/>
      <c r="H208" s="491" t="s">
        <v>299</v>
      </c>
      <c r="I208" s="32" t="s">
        <v>301</v>
      </c>
      <c r="J208" s="91">
        <f t="shared" si="78"/>
        <v>0</v>
      </c>
      <c r="K208" s="90">
        <f t="shared" si="79"/>
        <v>2</v>
      </c>
      <c r="L208" s="92">
        <f t="shared" si="80"/>
        <v>0</v>
      </c>
      <c r="M208" s="495" t="s">
        <v>299</v>
      </c>
      <c r="N208" s="319">
        <f>SUM(J208:J210)</f>
        <v>0</v>
      </c>
      <c r="O208" s="319">
        <f>SUM(K208:K210)</f>
        <v>5</v>
      </c>
      <c r="P208" s="322">
        <f>N208/O208</f>
        <v>0</v>
      </c>
      <c r="Q208" s="62"/>
      <c r="R208" s="62"/>
      <c r="S208" s="491" t="s">
        <v>299</v>
      </c>
      <c r="T208" s="32" t="s">
        <v>301</v>
      </c>
      <c r="U208" s="91">
        <f t="shared" si="81"/>
        <v>0</v>
      </c>
      <c r="V208" s="90">
        <f t="shared" si="82"/>
        <v>0.5</v>
      </c>
      <c r="W208" s="92">
        <f t="shared" si="83"/>
        <v>0</v>
      </c>
    </row>
    <row r="209" spans="1:23" ht="15" thickBot="1" x14ac:dyDescent="0.4">
      <c r="A209" s="495"/>
      <c r="B209" s="13" t="s">
        <v>302</v>
      </c>
      <c r="C209" s="153">
        <f>COUNTIFS('Données brutes'!F:F,"But",'Données brutes'!E:E,"KIM",'Données brutes'!G:G,"7m 9m Ext G appui")</f>
        <v>0</v>
      </c>
      <c r="D209" s="61">
        <f>COUNTIFS('Données brutes'!F:F,"Ar GB",'Données brutes'!E:E,"KIM",'Données brutes'!G:G,"7m 9m Ext G appui")</f>
        <v>0</v>
      </c>
      <c r="E209" s="61">
        <f>COUNTIFS('Données brutes'!F:F,"HC",'Données brutes'!E:E,"KIM",'Données brutes'!G:G,"7m 9m Ext G appui")</f>
        <v>0</v>
      </c>
      <c r="F209" s="90">
        <f>COUNTIFS('Données brutes'!F:F,"tir raté NC",'Données brutes'!E:E,"KIM",'Données brutes'!G:G,"7m 9m Ext G appui")</f>
        <v>0</v>
      </c>
      <c r="G209" s="62"/>
      <c r="H209" s="495"/>
      <c r="I209" s="33" t="s">
        <v>302</v>
      </c>
      <c r="J209" s="91">
        <f t="shared" si="78"/>
        <v>0</v>
      </c>
      <c r="K209" s="90">
        <f t="shared" si="79"/>
        <v>0</v>
      </c>
      <c r="L209" s="92" t="e">
        <f t="shared" si="80"/>
        <v>#DIV/0!</v>
      </c>
      <c r="M209" s="495"/>
      <c r="N209" s="325"/>
      <c r="O209" s="325"/>
      <c r="P209" s="326"/>
      <c r="Q209" s="62"/>
      <c r="R209" s="62"/>
      <c r="S209" s="495"/>
      <c r="T209" s="33" t="s">
        <v>302</v>
      </c>
      <c r="U209" s="91">
        <f t="shared" si="81"/>
        <v>0</v>
      </c>
      <c r="V209" s="90">
        <f t="shared" si="82"/>
        <v>0</v>
      </c>
      <c r="W209" s="92" t="e">
        <f t="shared" si="83"/>
        <v>#DIV/0!</v>
      </c>
    </row>
    <row r="210" spans="1:23" ht="15" thickBot="1" x14ac:dyDescent="0.4">
      <c r="A210" s="492"/>
      <c r="B210" s="36" t="s">
        <v>303</v>
      </c>
      <c r="C210" s="154">
        <f>COUNTIFS('Données brutes'!F:F,"But",'Données brutes'!E:E,"KIM",'Données brutes'!G:G,"7m 9m Ext D appui")</f>
        <v>0</v>
      </c>
      <c r="D210" s="155">
        <f>COUNTIFS('Données brutes'!F:F,"Ar GB",'Données brutes'!E:E,"KIM",'Données brutes'!G:G,"7m 9m Ext D appui")</f>
        <v>1</v>
      </c>
      <c r="E210" s="155">
        <f>COUNTIFS('Données brutes'!F:F,"HC",'Données brutes'!E:E,"KIM",'Données brutes'!G:G,"7m 9m Ext D appui")</f>
        <v>2</v>
      </c>
      <c r="F210" s="90">
        <f>COUNTIFS('Données brutes'!F:F,"tir raté NC",'Données brutes'!E:E,"KIM",'Données brutes'!G:G,"ALD")</f>
        <v>0</v>
      </c>
      <c r="G210" s="122"/>
      <c r="H210" s="492"/>
      <c r="I210" s="73" t="s">
        <v>303</v>
      </c>
      <c r="J210" s="91">
        <f t="shared" si="78"/>
        <v>0</v>
      </c>
      <c r="K210" s="90">
        <f t="shared" si="79"/>
        <v>3</v>
      </c>
      <c r="L210" s="92">
        <f t="shared" si="80"/>
        <v>0</v>
      </c>
      <c r="M210" s="495"/>
      <c r="N210" s="325"/>
      <c r="O210" s="325"/>
      <c r="P210" s="326"/>
      <c r="Q210" s="62"/>
      <c r="R210" s="62"/>
      <c r="S210" s="492"/>
      <c r="T210" s="73" t="s">
        <v>303</v>
      </c>
      <c r="U210" s="91">
        <f t="shared" si="81"/>
        <v>0</v>
      </c>
      <c r="V210" s="90">
        <f t="shared" si="82"/>
        <v>0.75</v>
      </c>
      <c r="W210" s="92">
        <f t="shared" si="83"/>
        <v>0</v>
      </c>
    </row>
    <row r="211" spans="1:23" ht="15" customHeight="1" thickBot="1" x14ac:dyDescent="0.4">
      <c r="A211" s="493" t="s">
        <v>300</v>
      </c>
      <c r="B211" s="87" t="s">
        <v>304</v>
      </c>
      <c r="C211" s="152">
        <f>COUNTIFS('Données brutes'!F:F,"But",'Données brutes'!E:E,"KIM",'Données brutes'!G:G,"7m 9m central suspension")</f>
        <v>0</v>
      </c>
      <c r="D211" s="90">
        <f>COUNTIFS('Données brutes'!F:F,"Ar GB",'Données brutes'!E:E,"KIM",'Données brutes'!G:G,"7m 9m central suspension")</f>
        <v>0</v>
      </c>
      <c r="E211" s="90">
        <f>COUNTIFS('Données brutes'!F:F,"HC",'Données brutes'!E:E,"KIM",'Données brutes'!G:G,"7m 9m central suspension")</f>
        <v>0</v>
      </c>
      <c r="F211" s="90">
        <f>COUNTIFS('Données brutes'!F:F,"tir raté NC",'Données brutes'!E:E,"KIM",'Données brutes'!G:G,"ALD")</f>
        <v>0</v>
      </c>
      <c r="G211" s="121"/>
      <c r="H211" s="493" t="s">
        <v>300</v>
      </c>
      <c r="I211" s="32" t="s">
        <v>304</v>
      </c>
      <c r="J211" s="91">
        <f t="shared" si="78"/>
        <v>0</v>
      </c>
      <c r="K211" s="90">
        <f t="shared" si="79"/>
        <v>0</v>
      </c>
      <c r="L211" s="92" t="e">
        <f t="shared" si="80"/>
        <v>#DIV/0!</v>
      </c>
      <c r="M211" s="495" t="s">
        <v>300</v>
      </c>
      <c r="N211" s="319">
        <f>SUM(J211:J213)</f>
        <v>1</v>
      </c>
      <c r="O211" s="319">
        <f>SUM(K211:K213)</f>
        <v>1</v>
      </c>
      <c r="P211" s="322">
        <f>N211/O211</f>
        <v>1</v>
      </c>
      <c r="Q211" s="62"/>
      <c r="R211" s="62"/>
      <c r="S211" s="493" t="s">
        <v>300</v>
      </c>
      <c r="T211" s="32" t="s">
        <v>304</v>
      </c>
      <c r="U211" s="91">
        <f t="shared" si="81"/>
        <v>0</v>
      </c>
      <c r="V211" s="90">
        <f t="shared" si="82"/>
        <v>0</v>
      </c>
      <c r="W211" s="92" t="e">
        <f t="shared" si="83"/>
        <v>#DIV/0!</v>
      </c>
    </row>
    <row r="212" spans="1:23" ht="15" thickBot="1" x14ac:dyDescent="0.4">
      <c r="A212" s="506"/>
      <c r="B212" s="13" t="s">
        <v>305</v>
      </c>
      <c r="C212" s="153">
        <f>COUNTIFS('Données brutes'!F:F,"But",'Données brutes'!E:E,"KIM",'Données brutes'!G:G,"7m 9m Ext G suspension")</f>
        <v>0</v>
      </c>
      <c r="D212" s="61">
        <f>COUNTIFS('Données brutes'!F:F,"Ar GB",'Données brutes'!E:E,"KIM",'Données brutes'!G:G,"7m 9m Ext G suspension")</f>
        <v>0</v>
      </c>
      <c r="E212" s="61">
        <f>COUNTIFS('Données brutes'!F:F,"HC",'Données brutes'!E:E,"KIM",'Données brutes'!G:G,"7m 9m Ext G suspension")</f>
        <v>0</v>
      </c>
      <c r="F212" s="90">
        <f>COUNTIFS('Données brutes'!F:F,"tir raté NC",'Données brutes'!E:E,"KIM",'Données brutes'!G:G,"ALD")</f>
        <v>0</v>
      </c>
      <c r="G212" s="62"/>
      <c r="H212" s="506"/>
      <c r="I212" s="33" t="s">
        <v>305</v>
      </c>
      <c r="J212" s="91">
        <f t="shared" si="78"/>
        <v>0</v>
      </c>
      <c r="K212" s="90">
        <f t="shared" si="79"/>
        <v>0</v>
      </c>
      <c r="L212" s="92" t="e">
        <f t="shared" si="80"/>
        <v>#DIV/0!</v>
      </c>
      <c r="M212" s="495"/>
      <c r="N212" s="325"/>
      <c r="O212" s="325"/>
      <c r="P212" s="326"/>
      <c r="Q212" s="62"/>
      <c r="R212" s="62"/>
      <c r="S212" s="506"/>
      <c r="T212" s="33" t="s">
        <v>305</v>
      </c>
      <c r="U212" s="91">
        <f t="shared" si="81"/>
        <v>0</v>
      </c>
      <c r="V212" s="90">
        <f t="shared" si="82"/>
        <v>0</v>
      </c>
      <c r="W212" s="92" t="e">
        <f t="shared" si="83"/>
        <v>#DIV/0!</v>
      </c>
    </row>
    <row r="213" spans="1:23" ht="15" thickBot="1" x14ac:dyDescent="0.4">
      <c r="A213" s="494"/>
      <c r="B213" s="36" t="s">
        <v>306</v>
      </c>
      <c r="C213" s="153">
        <f>COUNTIFS('Données brutes'!F:F,"But",'Données brutes'!E:E,"KIM",'Données brutes'!G:G,"7m 9m Ext D suspension")</f>
        <v>1</v>
      </c>
      <c r="D213" s="61">
        <f>COUNTIFS('Données brutes'!F:F,"Ar GB",'Données brutes'!E:E,"KIM",'Données brutes'!G:G,"7m 9m Ext D suspension")</f>
        <v>0</v>
      </c>
      <c r="E213" s="61">
        <f>COUNTIFS('Données brutes'!F:F,"HC",'Données brutes'!E:E,"KIM",'Données brutes'!G:G,"7m 9m Ext D suspension")</f>
        <v>0</v>
      </c>
      <c r="F213" s="90">
        <f>COUNTIFS('Données brutes'!F:F,"tir raté NC",'Données brutes'!E:E,"KIM",'Données brutes'!G:G,"7m 9m Ext D suspension")</f>
        <v>0</v>
      </c>
      <c r="G213" s="122"/>
      <c r="H213" s="494"/>
      <c r="I213" s="73" t="s">
        <v>306</v>
      </c>
      <c r="J213" s="91">
        <f t="shared" si="78"/>
        <v>1</v>
      </c>
      <c r="K213" s="90">
        <f t="shared" si="79"/>
        <v>1</v>
      </c>
      <c r="L213" s="92">
        <f t="shared" si="80"/>
        <v>1</v>
      </c>
      <c r="M213" s="495"/>
      <c r="N213" s="325"/>
      <c r="O213" s="325"/>
      <c r="P213" s="326"/>
      <c r="Q213" s="62"/>
      <c r="R213" s="62"/>
      <c r="S213" s="494"/>
      <c r="T213" s="73" t="s">
        <v>306</v>
      </c>
      <c r="U213" s="91">
        <f t="shared" si="81"/>
        <v>0.25</v>
      </c>
      <c r="V213" s="90">
        <f t="shared" si="82"/>
        <v>0.25</v>
      </c>
      <c r="W213" s="92">
        <f t="shared" si="83"/>
        <v>1</v>
      </c>
    </row>
    <row r="214" spans="1:23" ht="15" thickBot="1" x14ac:dyDescent="0.4">
      <c r="A214" s="407" t="s">
        <v>146</v>
      </c>
      <c r="B214" s="87" t="s">
        <v>307</v>
      </c>
      <c r="C214" s="152">
        <f>COUNTIFS('Données brutes'!F:F,"But",'Données brutes'!E:E,"KIM",'Données brutes'!G:G,"9m G")</f>
        <v>0</v>
      </c>
      <c r="D214" s="90">
        <f>COUNTIFS('Données brutes'!F:F,"Ar GB",'Données brutes'!E:E,"KIM",'Données brutes'!G:G,"9m G")</f>
        <v>0</v>
      </c>
      <c r="E214" s="90">
        <f>COUNTIFS('Données brutes'!F:F,"HC",'Données brutes'!E:E,"KIM",'Données brutes'!G:G,"9m G")</f>
        <v>0</v>
      </c>
      <c r="F214" s="90">
        <f>COUNTIFS('Données brutes'!F:F,"tir raté NC",'Données brutes'!E:E,"KIM",'Données brutes'!G:G,"9m G")</f>
        <v>0</v>
      </c>
      <c r="G214" s="121"/>
      <c r="H214" s="407" t="s">
        <v>146</v>
      </c>
      <c r="I214" s="32" t="s">
        <v>307</v>
      </c>
      <c r="J214" s="91">
        <f t="shared" si="78"/>
        <v>0</v>
      </c>
      <c r="K214" s="90">
        <f t="shared" si="79"/>
        <v>0</v>
      </c>
      <c r="L214" s="92" t="e">
        <f t="shared" si="80"/>
        <v>#DIV/0!</v>
      </c>
      <c r="M214" s="404" t="s">
        <v>146</v>
      </c>
      <c r="N214" s="319">
        <f>SUM(J214:J216)</f>
        <v>0</v>
      </c>
      <c r="O214" s="319">
        <f>SUM(K214:K216)</f>
        <v>5</v>
      </c>
      <c r="P214" s="322">
        <f>N214/O214</f>
        <v>0</v>
      </c>
      <c r="Q214" s="62"/>
      <c r="R214" s="62"/>
      <c r="S214" s="407" t="s">
        <v>146</v>
      </c>
      <c r="T214" s="32" t="s">
        <v>307</v>
      </c>
      <c r="U214" s="91">
        <f t="shared" si="81"/>
        <v>0</v>
      </c>
      <c r="V214" s="90">
        <f t="shared" si="82"/>
        <v>0</v>
      </c>
      <c r="W214" s="92" t="e">
        <f t="shared" si="83"/>
        <v>#DIV/0!</v>
      </c>
    </row>
    <row r="215" spans="1:23" ht="15" thickBot="1" x14ac:dyDescent="0.4">
      <c r="A215" s="404"/>
      <c r="B215" s="13" t="s">
        <v>308</v>
      </c>
      <c r="C215" s="152">
        <f>COUNTIFS('Données brutes'!F:F,"But",'Données brutes'!E:E,"KIM",'Données brutes'!G:G,"9m +")</f>
        <v>0</v>
      </c>
      <c r="D215" s="90">
        <f>COUNTIFS('Données brutes'!F:F,"Ar GB",'Données brutes'!E:E,"KIM",'Données brutes'!G:G,"9m +")</f>
        <v>4</v>
      </c>
      <c r="E215" s="90">
        <f>COUNTIFS('Données brutes'!F:F,"HC",'Données brutes'!E:E,"KIM",'Données brutes'!G:G,"9m +")</f>
        <v>1</v>
      </c>
      <c r="F215" s="90">
        <f>COUNTIFS('Données brutes'!F:F,"tir raté NC",'Données brutes'!E:E,"KIM",'Données brutes'!G:G,"9m +")</f>
        <v>1</v>
      </c>
      <c r="G215" s="62"/>
      <c r="H215" s="404"/>
      <c r="I215" s="33" t="s">
        <v>308</v>
      </c>
      <c r="J215" s="91">
        <f t="shared" si="78"/>
        <v>0</v>
      </c>
      <c r="K215" s="90">
        <f t="shared" si="79"/>
        <v>5</v>
      </c>
      <c r="L215" s="92">
        <f t="shared" si="80"/>
        <v>0</v>
      </c>
      <c r="M215" s="404"/>
      <c r="N215" s="325"/>
      <c r="O215" s="325"/>
      <c r="P215" s="326"/>
      <c r="Q215" s="62"/>
      <c r="R215" s="62"/>
      <c r="S215" s="404"/>
      <c r="T215" s="33" t="s">
        <v>308</v>
      </c>
      <c r="U215" s="91">
        <f t="shared" si="81"/>
        <v>0</v>
      </c>
      <c r="V215" s="90">
        <f t="shared" si="82"/>
        <v>1.25</v>
      </c>
      <c r="W215" s="92">
        <f t="shared" si="83"/>
        <v>0</v>
      </c>
    </row>
    <row r="216" spans="1:23" ht="15" thickBot="1" x14ac:dyDescent="0.4">
      <c r="A216" s="490"/>
      <c r="B216" s="36" t="s">
        <v>309</v>
      </c>
      <c r="C216" s="152">
        <f>COUNTIFS('Données brutes'!F:F,"But",'Données brutes'!E:E,"KIM",'Données brutes'!G:G,"9m D")</f>
        <v>0</v>
      </c>
      <c r="D216" s="90">
        <f>COUNTIFS('Données brutes'!F:F,"Ar GB",'Données brutes'!E:E,"KIM",'Données brutes'!G:G,"9m D")</f>
        <v>0</v>
      </c>
      <c r="E216" s="90">
        <f>COUNTIFS('Données brutes'!F:F,"HC",'Données brutes'!E:E,"KIM",'Données brutes'!G:G,"9m D")</f>
        <v>0</v>
      </c>
      <c r="F216" s="90">
        <f>COUNTIFS('Données brutes'!F:F,"tir raté NC",'Données brutes'!E:E,"KIM",'Données brutes'!G:G,"9m D")</f>
        <v>0</v>
      </c>
      <c r="G216" s="122"/>
      <c r="H216" s="490"/>
      <c r="I216" s="73" t="s">
        <v>309</v>
      </c>
      <c r="J216" s="91">
        <f t="shared" si="78"/>
        <v>0</v>
      </c>
      <c r="K216" s="90">
        <f t="shared" si="79"/>
        <v>0</v>
      </c>
      <c r="L216" s="92" t="e">
        <f t="shared" si="80"/>
        <v>#DIV/0!</v>
      </c>
      <c r="M216" s="404"/>
      <c r="N216" s="325"/>
      <c r="O216" s="325"/>
      <c r="P216" s="326"/>
      <c r="Q216" s="62"/>
      <c r="R216" s="62"/>
      <c r="S216" s="490"/>
      <c r="T216" s="73" t="s">
        <v>309</v>
      </c>
      <c r="U216" s="91">
        <f t="shared" si="81"/>
        <v>0</v>
      </c>
      <c r="V216" s="90">
        <f t="shared" si="82"/>
        <v>0</v>
      </c>
      <c r="W216" s="92" t="e">
        <f t="shared" si="83"/>
        <v>#DIV/0!</v>
      </c>
    </row>
    <row r="217" spans="1:23" ht="15" customHeight="1" thickBot="1" x14ac:dyDescent="0.4">
      <c r="A217" s="493" t="s">
        <v>310</v>
      </c>
      <c r="B217" s="87" t="s">
        <v>22</v>
      </c>
      <c r="C217" s="152">
        <f>COUNTIFS('Données brutes'!F:F,"But",'Données brutes'!E:E,"KIM",'Données brutes'!G:G,"But vide")</f>
        <v>0</v>
      </c>
      <c r="D217" s="90">
        <f>COUNTIFS('Données brutes'!F:F,"Ar GB",'Données brutes'!E:E,"KIM",'Données brutes'!G:G,"But vide")</f>
        <v>0</v>
      </c>
      <c r="E217" s="90">
        <f>COUNTIFS('Données brutes'!F:F,"HC",'Données brutes'!E:E,"KIM",'Données brutes'!G:G,"But vide")</f>
        <v>0</v>
      </c>
      <c r="F217" s="90">
        <f>COUNTIFS('Données brutes'!F:F,"tir raté NC",'Données brutes'!E:E,"KIM",'Données brutes'!G:G,"But vide")</f>
        <v>0</v>
      </c>
      <c r="G217" s="121"/>
      <c r="H217" s="493" t="s">
        <v>310</v>
      </c>
      <c r="I217" s="32" t="s">
        <v>22</v>
      </c>
      <c r="J217" s="91">
        <f t="shared" si="78"/>
        <v>0</v>
      </c>
      <c r="K217" s="90">
        <f t="shared" si="79"/>
        <v>0</v>
      </c>
      <c r="L217" s="92" t="e">
        <f t="shared" si="80"/>
        <v>#DIV/0!</v>
      </c>
      <c r="M217" s="495" t="s">
        <v>310</v>
      </c>
      <c r="N217" s="319">
        <f>J217+J218</f>
        <v>0</v>
      </c>
      <c r="O217" s="319">
        <f>K217+K218</f>
        <v>0</v>
      </c>
      <c r="P217" s="322" t="e">
        <f>N217/O217</f>
        <v>#DIV/0!</v>
      </c>
      <c r="Q217" s="62"/>
      <c r="R217" s="62"/>
      <c r="S217" s="493" t="s">
        <v>310</v>
      </c>
      <c r="T217" s="32" t="s">
        <v>22</v>
      </c>
      <c r="U217" s="91">
        <f t="shared" si="81"/>
        <v>0</v>
      </c>
      <c r="V217" s="90">
        <f t="shared" si="82"/>
        <v>0</v>
      </c>
      <c r="W217" s="92" t="e">
        <f t="shared" si="83"/>
        <v>#DIV/0!</v>
      </c>
    </row>
    <row r="218" spans="1:23" ht="15" thickBot="1" x14ac:dyDescent="0.4">
      <c r="A218" s="494"/>
      <c r="B218" s="36" t="s">
        <v>12</v>
      </c>
      <c r="C218" s="152">
        <f>COUNTIFS('Données brutes'!F:F,"But",'Données brutes'!E:E,"KIM",'Données brutes'!G:G,"CA MB")</f>
        <v>0</v>
      </c>
      <c r="D218" s="90">
        <f>COUNTIFS('Données brutes'!F:F,"Ar GB",'Données brutes'!E:E,"KIM",'Données brutes'!G:G,"CA MB")</f>
        <v>0</v>
      </c>
      <c r="E218" s="90">
        <f>COUNTIFS('Données brutes'!F:F,"HC",'Données brutes'!E:E,"KIM",'Données brutes'!G:G,"CA MB")</f>
        <v>0</v>
      </c>
      <c r="F218" s="90">
        <f>COUNTIFS('Données brutes'!F:F,"tir raté NC",'Données brutes'!E:E,"KIM",'Données brutes'!G:G,"CA MB")</f>
        <v>0</v>
      </c>
      <c r="G218" s="122"/>
      <c r="H218" s="494"/>
      <c r="I218" s="73" t="s">
        <v>12</v>
      </c>
      <c r="J218" s="91">
        <f t="shared" si="78"/>
        <v>0</v>
      </c>
      <c r="K218" s="90">
        <f t="shared" si="79"/>
        <v>0</v>
      </c>
      <c r="L218" s="92" t="e">
        <f t="shared" si="80"/>
        <v>#DIV/0!</v>
      </c>
      <c r="M218" s="495"/>
      <c r="N218" s="325"/>
      <c r="O218" s="325"/>
      <c r="P218" s="326"/>
      <c r="Q218" s="62"/>
      <c r="R218" s="62"/>
      <c r="S218" s="494"/>
      <c r="T218" s="73" t="s">
        <v>12</v>
      </c>
      <c r="U218" s="91">
        <f t="shared" si="81"/>
        <v>0</v>
      </c>
      <c r="V218" s="90">
        <f t="shared" si="82"/>
        <v>0</v>
      </c>
      <c r="W218" s="92" t="e">
        <f t="shared" si="83"/>
        <v>#DIV/0!</v>
      </c>
    </row>
    <row r="219" spans="1:23" ht="15" thickBot="1" x14ac:dyDescent="0.4">
      <c r="A219" s="488" t="s">
        <v>311</v>
      </c>
      <c r="B219" s="507"/>
      <c r="C219" s="156">
        <f>SUM(C201:C218)</f>
        <v>7</v>
      </c>
      <c r="D219" s="157">
        <f t="shared" ref="D219:E219" si="84">SUM(D201:D218)</f>
        <v>7</v>
      </c>
      <c r="E219" s="157">
        <f t="shared" si="84"/>
        <v>5</v>
      </c>
      <c r="F219" s="157">
        <f>SUM(F201:F214)</f>
        <v>0</v>
      </c>
      <c r="G219" s="123"/>
      <c r="H219" s="488" t="s">
        <v>311</v>
      </c>
      <c r="I219" s="489"/>
      <c r="J219" s="91">
        <f t="shared" si="78"/>
        <v>7</v>
      </c>
      <c r="K219" s="90">
        <f t="shared" si="79"/>
        <v>19</v>
      </c>
      <c r="L219" s="92">
        <f t="shared" si="80"/>
        <v>0.36842105263157893</v>
      </c>
      <c r="M219" s="324"/>
      <c r="N219" s="325"/>
      <c r="O219" s="325"/>
      <c r="P219" s="326"/>
      <c r="Q219" s="62"/>
      <c r="R219" s="62"/>
      <c r="S219" s="488" t="s">
        <v>311</v>
      </c>
      <c r="T219" s="489"/>
      <c r="U219" s="91">
        <f t="shared" si="81"/>
        <v>1.75</v>
      </c>
      <c r="V219" s="90">
        <f t="shared" si="82"/>
        <v>4.75</v>
      </c>
      <c r="W219" s="92">
        <f t="shared" si="83"/>
        <v>0.36842105263157893</v>
      </c>
    </row>
    <row r="220" spans="1:23" ht="15" thickBot="1" x14ac:dyDescent="0.4">
      <c r="A220" s="94"/>
      <c r="B220" s="87" t="s">
        <v>59</v>
      </c>
      <c r="C220" s="152">
        <f>COUNTIFS('Données brutes'!F:F,"But",'Données brutes'!E:E,"KIM",'Données brutes'!G:G,"Jet 7m")</f>
        <v>0</v>
      </c>
      <c r="D220" s="90">
        <f>COUNTIFS('Données brutes'!F:F,"Ar GB",'Données brutes'!E:E,"KIM",'Données brutes'!G:G,"Jet 7m")</f>
        <v>0</v>
      </c>
      <c r="E220" s="90">
        <f>COUNTIFS('Données brutes'!F:F,"HC",'Données brutes'!E:E,"KIM",'Données brutes'!G:G,"Jet 7m")</f>
        <v>0</v>
      </c>
      <c r="F220" s="90">
        <f>COUNTIFS('Données brutes'!F:F,"tir raté NC",'Données brutes'!E:E,"KIM",'Données brutes'!G:G,"Jet 7m")</f>
        <v>0</v>
      </c>
      <c r="G220" s="508"/>
      <c r="H220" s="94"/>
      <c r="I220" s="32" t="s">
        <v>59</v>
      </c>
      <c r="J220" s="91">
        <f t="shared" si="78"/>
        <v>0</v>
      </c>
      <c r="K220" s="90">
        <f t="shared" si="79"/>
        <v>0</v>
      </c>
      <c r="L220" s="92" t="e">
        <f t="shared" si="80"/>
        <v>#DIV/0!</v>
      </c>
      <c r="M220" s="324"/>
      <c r="N220" s="325"/>
      <c r="O220" s="325"/>
      <c r="P220" s="326"/>
      <c r="Q220" s="62"/>
      <c r="R220" s="62"/>
      <c r="S220" s="94"/>
      <c r="T220" s="32" t="s">
        <v>59</v>
      </c>
      <c r="U220" s="91">
        <f t="shared" si="81"/>
        <v>0</v>
      </c>
      <c r="V220" s="90">
        <f t="shared" si="82"/>
        <v>0</v>
      </c>
      <c r="W220" s="92" t="e">
        <f t="shared" si="83"/>
        <v>#DIV/0!</v>
      </c>
    </row>
    <row r="221" spans="1:23" ht="15" thickBot="1" x14ac:dyDescent="0.4">
      <c r="A221" s="490" t="s">
        <v>312</v>
      </c>
      <c r="B221" s="510"/>
      <c r="C221" s="156">
        <f>C219+C220</f>
        <v>7</v>
      </c>
      <c r="D221" s="156">
        <f t="shared" ref="D221" si="85">D219+D220</f>
        <v>7</v>
      </c>
      <c r="E221" s="156">
        <f t="shared" ref="E221" si="86">E219+E220</f>
        <v>5</v>
      </c>
      <c r="F221" s="156">
        <f t="shared" ref="F221" si="87">F219+F220</f>
        <v>0</v>
      </c>
      <c r="G221" s="509"/>
      <c r="H221" s="490" t="s">
        <v>312</v>
      </c>
      <c r="I221" s="511"/>
      <c r="J221" s="91">
        <f t="shared" si="78"/>
        <v>7</v>
      </c>
      <c r="K221" s="90">
        <f t="shared" si="79"/>
        <v>19</v>
      </c>
      <c r="L221" s="92">
        <f t="shared" si="80"/>
        <v>0.36842105263157893</v>
      </c>
      <c r="M221" s="327"/>
      <c r="N221" s="328"/>
      <c r="O221" s="328"/>
      <c r="P221" s="329"/>
      <c r="Q221" s="122"/>
      <c r="R221" s="122"/>
      <c r="S221" s="490" t="s">
        <v>312</v>
      </c>
      <c r="T221" s="511"/>
      <c r="U221" s="91">
        <f t="shared" si="81"/>
        <v>1.75</v>
      </c>
      <c r="V221" s="90">
        <f t="shared" si="82"/>
        <v>4.75</v>
      </c>
      <c r="W221" s="92">
        <f t="shared" si="83"/>
        <v>0.36842105263157893</v>
      </c>
    </row>
    <row r="223" spans="1:23" ht="15" thickBot="1" x14ac:dyDescent="0.4"/>
    <row r="224" spans="1:23" ht="26.5" thickBot="1" x14ac:dyDescent="0.4">
      <c r="A224" s="514" t="s">
        <v>427</v>
      </c>
      <c r="B224" s="515"/>
      <c r="C224" s="515"/>
      <c r="D224" s="515"/>
      <c r="E224" s="515"/>
      <c r="F224" s="515"/>
      <c r="G224" s="121"/>
      <c r="H224" s="425" t="s">
        <v>333</v>
      </c>
      <c r="I224" s="425"/>
      <c r="J224" s="425"/>
      <c r="K224" s="425"/>
      <c r="L224" s="425"/>
      <c r="M224" s="309"/>
      <c r="N224" s="309"/>
      <c r="O224" s="309"/>
      <c r="P224" s="309"/>
      <c r="Q224" s="121"/>
      <c r="R224" s="124" t="s">
        <v>335</v>
      </c>
      <c r="S224" s="425" t="s">
        <v>334</v>
      </c>
      <c r="T224" s="425"/>
      <c r="U224" s="425"/>
      <c r="V224" s="425"/>
      <c r="W224" s="426"/>
    </row>
    <row r="225" spans="1:23" ht="29.5" thickBot="1" x14ac:dyDescent="0.4">
      <c r="A225" s="403" t="s">
        <v>5</v>
      </c>
      <c r="B225" s="512"/>
      <c r="C225" s="118" t="s">
        <v>33</v>
      </c>
      <c r="D225" s="118" t="s">
        <v>20</v>
      </c>
      <c r="E225" s="118" t="s">
        <v>10</v>
      </c>
      <c r="F225" s="118" t="s">
        <v>277</v>
      </c>
      <c r="G225" s="62"/>
      <c r="H225" s="513" t="s">
        <v>5</v>
      </c>
      <c r="I225" s="421"/>
      <c r="J225" s="93" t="s">
        <v>33</v>
      </c>
      <c r="K225" s="119" t="s">
        <v>326</v>
      </c>
      <c r="L225" s="120" t="s">
        <v>150</v>
      </c>
      <c r="M225" s="310"/>
      <c r="N225" s="320" t="s">
        <v>33</v>
      </c>
      <c r="O225" s="320" t="s">
        <v>326</v>
      </c>
      <c r="P225" s="321" t="s">
        <v>150</v>
      </c>
      <c r="Q225" s="62"/>
      <c r="R225" s="125">
        <f>'Matchs joués'!B12</f>
        <v>4</v>
      </c>
      <c r="S225" s="513" t="s">
        <v>5</v>
      </c>
      <c r="T225" s="421"/>
      <c r="U225" s="93" t="s">
        <v>33</v>
      </c>
      <c r="V225" s="119" t="s">
        <v>326</v>
      </c>
      <c r="W225" s="120" t="s">
        <v>150</v>
      </c>
    </row>
    <row r="226" spans="1:23" ht="15" thickBot="1" x14ac:dyDescent="0.4">
      <c r="A226" s="407" t="s">
        <v>295</v>
      </c>
      <c r="B226" s="87" t="s">
        <v>15</v>
      </c>
      <c r="C226" s="152">
        <f>COUNTIFS('Données brutes'!F:F,"But",'Données brutes'!E:E,"MATHILDE",'Données brutes'!G:G,"ALG")</f>
        <v>0</v>
      </c>
      <c r="D226" s="90">
        <f>COUNTIFS('Données brutes'!F:F,"Ar GB",'Données brutes'!E:E,"MATHILDE",'Données brutes'!G:G,"ALG")</f>
        <v>0</v>
      </c>
      <c r="E226" s="90">
        <f>COUNTIFS('Données brutes'!F:F,"HC",'Données brutes'!E:E,"MATHILDE",'Données brutes'!G:G,"ALG")</f>
        <v>0</v>
      </c>
      <c r="F226" s="90">
        <f>COUNTIFS('Données brutes'!F:F,"tir raté NC",'Données brutes'!E:E,"MATHILDE",'Données brutes'!G:G,"ALG")</f>
        <v>0</v>
      </c>
      <c r="G226" s="121"/>
      <c r="H226" s="407" t="s">
        <v>295</v>
      </c>
      <c r="I226" s="32" t="s">
        <v>15</v>
      </c>
      <c r="J226" s="91">
        <f>$C226</f>
        <v>0</v>
      </c>
      <c r="K226" s="90">
        <f>$C226+$D226+$E226</f>
        <v>0</v>
      </c>
      <c r="L226" s="92" t="e">
        <f>J226/K226</f>
        <v>#DIV/0!</v>
      </c>
      <c r="M226" s="404" t="s">
        <v>295</v>
      </c>
      <c r="N226" s="496" t="s">
        <v>394</v>
      </c>
      <c r="O226" s="496"/>
      <c r="P226" s="497"/>
      <c r="Q226" s="62"/>
      <c r="R226" s="62"/>
      <c r="S226" s="407" t="s">
        <v>295</v>
      </c>
      <c r="T226" s="32" t="s">
        <v>15</v>
      </c>
      <c r="U226" s="91">
        <f>$J226/$R$2</f>
        <v>0</v>
      </c>
      <c r="V226" s="90">
        <f>$K226/$R$2</f>
        <v>0</v>
      </c>
      <c r="W226" s="92" t="e">
        <f>U226/V226</f>
        <v>#DIV/0!</v>
      </c>
    </row>
    <row r="227" spans="1:23" ht="15" thickBot="1" x14ac:dyDescent="0.4">
      <c r="A227" s="404"/>
      <c r="B227" s="13" t="s">
        <v>282</v>
      </c>
      <c r="C227" s="153">
        <f>COUNTIFS('Données brutes'!F:F,"But",'Données brutes'!E:E,"MATHILDE",'Données brutes'!G:G,"1 2")</f>
        <v>0</v>
      </c>
      <c r="D227" s="61">
        <f>COUNTIFS('Données brutes'!F:F,"Ar GB",'Données brutes'!E:E,"MATHILDE",'Données brutes'!G:G,"1 2")</f>
        <v>0</v>
      </c>
      <c r="E227" s="61">
        <f>COUNTIFS('Données brutes'!F:F,"HC",'Données brutes'!E:E,"MATHILDE",'Données brutes'!G:G,"1 2")</f>
        <v>1</v>
      </c>
      <c r="F227" s="90">
        <f>COUNTIFS('Données brutes'!F:F,"tir raté NC",'Données brutes'!E:E,"MATHILDE",'Données brutes'!G:G,"1 2")</f>
        <v>0</v>
      </c>
      <c r="G227" s="62"/>
      <c r="H227" s="404"/>
      <c r="I227" s="33" t="s">
        <v>282</v>
      </c>
      <c r="J227" s="91">
        <f t="shared" ref="J227:J246" si="88">$C227</f>
        <v>0</v>
      </c>
      <c r="K227" s="90">
        <f t="shared" ref="K227:K246" si="89">$C227+$D227+$E227</f>
        <v>1</v>
      </c>
      <c r="L227" s="92">
        <f t="shared" ref="L227:L246" si="90">J227/K227</f>
        <v>0</v>
      </c>
      <c r="M227" s="404"/>
      <c r="N227" s="319">
        <f>J226+J232</f>
        <v>0</v>
      </c>
      <c r="O227" s="319">
        <f>K226+K232</f>
        <v>0</v>
      </c>
      <c r="P227" s="322" t="e">
        <f>N227/O227</f>
        <v>#DIV/0!</v>
      </c>
      <c r="Q227" s="62"/>
      <c r="R227" s="62"/>
      <c r="S227" s="404"/>
      <c r="T227" s="33" t="s">
        <v>282</v>
      </c>
      <c r="U227" s="91">
        <f t="shared" ref="U227:U246" si="91">$J227/$R$2</f>
        <v>0</v>
      </c>
      <c r="V227" s="90">
        <f t="shared" ref="V227:V246" si="92">$K227/$R$2</f>
        <v>0.25</v>
      </c>
      <c r="W227" s="92">
        <f t="shared" ref="W227:W246" si="93">U227/V227</f>
        <v>0</v>
      </c>
    </row>
    <row r="228" spans="1:23" ht="15" thickBot="1" x14ac:dyDescent="0.4">
      <c r="A228" s="404"/>
      <c r="B228" s="13" t="s">
        <v>297</v>
      </c>
      <c r="C228" s="153">
        <f>COUNTIFS('Données brutes'!F:F,"But",'Données brutes'!E:E,"MATHILDE",'Données brutes'!G:G,"2 3")</f>
        <v>1</v>
      </c>
      <c r="D228" s="61">
        <f>COUNTIFS('Données brutes'!F:F,"Ar GB",'Données brutes'!E:E,"MATHILDE",'Données brutes'!G:G,"2 3")</f>
        <v>1</v>
      </c>
      <c r="E228" s="61">
        <f>COUNTIFS('Données brutes'!F:F,"HC",'Données brutes'!E:E,"MATHILDE",'Données brutes'!G:G,"2 3")</f>
        <v>0</v>
      </c>
      <c r="F228" s="90">
        <f>COUNTIFS('Données brutes'!F:F,"tir raté NC",'Données brutes'!E:E,"MATHILDE",'Données brutes'!G:G,"2 3")</f>
        <v>0</v>
      </c>
      <c r="G228" s="62"/>
      <c r="H228" s="404"/>
      <c r="I228" s="33" t="s">
        <v>297</v>
      </c>
      <c r="J228" s="91">
        <f t="shared" si="88"/>
        <v>1</v>
      </c>
      <c r="K228" s="90">
        <f t="shared" si="89"/>
        <v>2</v>
      </c>
      <c r="L228" s="92">
        <f t="shared" si="90"/>
        <v>0.5</v>
      </c>
      <c r="M228" s="404"/>
      <c r="N228" s="498" t="s">
        <v>395</v>
      </c>
      <c r="O228" s="498"/>
      <c r="P228" s="499"/>
      <c r="Q228" s="62"/>
      <c r="R228" s="62"/>
      <c r="S228" s="404"/>
      <c r="T228" s="33" t="s">
        <v>297</v>
      </c>
      <c r="U228" s="91">
        <f t="shared" si="91"/>
        <v>0.25</v>
      </c>
      <c r="V228" s="90">
        <f t="shared" si="92"/>
        <v>0.5</v>
      </c>
      <c r="W228" s="92">
        <f t="shared" si="93"/>
        <v>0.5</v>
      </c>
    </row>
    <row r="229" spans="1:23" ht="15" thickBot="1" x14ac:dyDescent="0.4">
      <c r="A229" s="404"/>
      <c r="B229" s="13" t="s">
        <v>296</v>
      </c>
      <c r="C229" s="153">
        <f>COUNTIFS('Données brutes'!F:F,"But",'Données brutes'!E:E,"MATHILDE",'Données brutes'!G:G,"3 4")</f>
        <v>0</v>
      </c>
      <c r="D229" s="61">
        <f>COUNTIFS('Données brutes'!F:F,"Ar GB",'Données brutes'!E:E,"MATHILDE",'Données brutes'!G:G,"3 4")</f>
        <v>0</v>
      </c>
      <c r="E229" s="61">
        <f>COUNTIFS('Données brutes'!F:F,"HC",'Données brutes'!E:E,"MATHILDE",'Données brutes'!G:G,"3 4")</f>
        <v>0</v>
      </c>
      <c r="F229" s="90">
        <f>COUNTIFS('Données brutes'!F:F,"tir raté NC",'Données brutes'!E:E,"MATHILDE",'Données brutes'!G:G,"3 4")</f>
        <v>1</v>
      </c>
      <c r="G229" s="62"/>
      <c r="H229" s="404"/>
      <c r="I229" s="33" t="s">
        <v>296</v>
      </c>
      <c r="J229" s="91">
        <f t="shared" si="88"/>
        <v>0</v>
      </c>
      <c r="K229" s="90">
        <f t="shared" si="89"/>
        <v>0</v>
      </c>
      <c r="L229" s="92" t="e">
        <f t="shared" si="90"/>
        <v>#DIV/0!</v>
      </c>
      <c r="M229" s="404"/>
      <c r="N229" s="319">
        <f>J227+J231</f>
        <v>3</v>
      </c>
      <c r="O229" s="319">
        <f>K227+K231</f>
        <v>8</v>
      </c>
      <c r="P229" s="322">
        <f>N229/O229</f>
        <v>0.375</v>
      </c>
      <c r="Q229" s="62"/>
      <c r="R229" s="62"/>
      <c r="S229" s="404"/>
      <c r="T229" s="33" t="s">
        <v>296</v>
      </c>
      <c r="U229" s="91">
        <f t="shared" si="91"/>
        <v>0</v>
      </c>
      <c r="V229" s="90">
        <f t="shared" si="92"/>
        <v>0</v>
      </c>
      <c r="W229" s="92" t="e">
        <f t="shared" si="93"/>
        <v>#DIV/0!</v>
      </c>
    </row>
    <row r="230" spans="1:23" ht="15" thickBot="1" x14ac:dyDescent="0.4">
      <c r="A230" s="404"/>
      <c r="B230" s="13" t="s">
        <v>298</v>
      </c>
      <c r="C230" s="153">
        <f>COUNTIFS('Données brutes'!F:F,"But",'Données brutes'!E:E,"MATHILDE",'Données brutes'!G:G,"4 5")</f>
        <v>1</v>
      </c>
      <c r="D230" s="61">
        <f>COUNTIFS('Données brutes'!F:F,"Ar GB",'Données brutes'!E:E,"MATHILDE",'Données brutes'!G:G,"4 5")</f>
        <v>1</v>
      </c>
      <c r="E230" s="61">
        <f>COUNTIFS('Données brutes'!F:F,"HC",'Données brutes'!E:E,"MATHILDE",'Données brutes'!G:G,"4 5")</f>
        <v>0</v>
      </c>
      <c r="F230" s="90">
        <f>COUNTIFS('Données brutes'!F:F,"tir raté NC",'Données brutes'!E:E,"MATHILDE",'Données brutes'!G:G,"4 5")</f>
        <v>0</v>
      </c>
      <c r="G230" s="62"/>
      <c r="H230" s="404"/>
      <c r="I230" s="33" t="s">
        <v>298</v>
      </c>
      <c r="J230" s="91">
        <f t="shared" si="88"/>
        <v>1</v>
      </c>
      <c r="K230" s="90">
        <f t="shared" si="89"/>
        <v>2</v>
      </c>
      <c r="L230" s="92">
        <f t="shared" si="90"/>
        <v>0.5</v>
      </c>
      <c r="M230" s="404"/>
      <c r="N230" s="498" t="s">
        <v>396</v>
      </c>
      <c r="O230" s="498"/>
      <c r="P230" s="499"/>
      <c r="Q230" s="62"/>
      <c r="R230" s="62"/>
      <c r="S230" s="404"/>
      <c r="T230" s="33" t="s">
        <v>298</v>
      </c>
      <c r="U230" s="91">
        <f t="shared" si="91"/>
        <v>0.25</v>
      </c>
      <c r="V230" s="90">
        <f t="shared" si="92"/>
        <v>0.5</v>
      </c>
      <c r="W230" s="92">
        <f t="shared" si="93"/>
        <v>0.5</v>
      </c>
    </row>
    <row r="231" spans="1:23" ht="15" thickBot="1" x14ac:dyDescent="0.4">
      <c r="A231" s="404"/>
      <c r="B231" s="13" t="s">
        <v>283</v>
      </c>
      <c r="C231" s="153">
        <f>COUNTIFS('Données brutes'!F:F,"But",'Données brutes'!E:E,"MATHILDE",'Données brutes'!G:G,"5 6")</f>
        <v>3</v>
      </c>
      <c r="D231" s="61">
        <f>COUNTIFS('Données brutes'!F:F,"Ar GB",'Données brutes'!E:E,"MATHILDE",'Données brutes'!G:G,"5 6")</f>
        <v>2</v>
      </c>
      <c r="E231" s="61">
        <f>COUNTIFS('Données brutes'!F:F,"HC",'Données brutes'!E:E,"MATHILDE",'Données brutes'!G:G,"5 6")</f>
        <v>2</v>
      </c>
      <c r="F231" s="90">
        <f>COUNTIFS('Données brutes'!F:F,"tir raté NC",'Données brutes'!E:E,"MATHILDE",'Données brutes'!G:G,"5 6")</f>
        <v>2</v>
      </c>
      <c r="G231" s="62"/>
      <c r="H231" s="404"/>
      <c r="I231" s="33" t="s">
        <v>283</v>
      </c>
      <c r="J231" s="91">
        <f t="shared" si="88"/>
        <v>3</v>
      </c>
      <c r="K231" s="90">
        <f t="shared" si="89"/>
        <v>7</v>
      </c>
      <c r="L231" s="92">
        <f t="shared" si="90"/>
        <v>0.42857142857142855</v>
      </c>
      <c r="M231" s="404"/>
      <c r="N231" s="319">
        <f>J228+J229+J230</f>
        <v>2</v>
      </c>
      <c r="O231" s="319">
        <f>K228+K229+K230</f>
        <v>4</v>
      </c>
      <c r="P231" s="322">
        <f>N231/O231</f>
        <v>0.5</v>
      </c>
      <c r="Q231" s="62"/>
      <c r="R231" s="62"/>
      <c r="S231" s="404"/>
      <c r="T231" s="33" t="s">
        <v>283</v>
      </c>
      <c r="U231" s="91">
        <f t="shared" si="91"/>
        <v>0.75</v>
      </c>
      <c r="V231" s="90">
        <f t="shared" si="92"/>
        <v>1.75</v>
      </c>
      <c r="W231" s="92">
        <f t="shared" si="93"/>
        <v>0.42857142857142855</v>
      </c>
    </row>
    <row r="232" spans="1:23" ht="15" thickBot="1" x14ac:dyDescent="0.4">
      <c r="A232" s="490"/>
      <c r="B232" s="36" t="s">
        <v>17</v>
      </c>
      <c r="C232" s="154">
        <f>COUNTIFS('Données brutes'!F:F,"But",'Données brutes'!E:E,"MATHILDE",'Données brutes'!G:G,"ALD")</f>
        <v>0</v>
      </c>
      <c r="D232" s="155">
        <f>COUNTIFS('Données brutes'!F:F,"Ar GB",'Données brutes'!E:E,"MATHILDE",'Données brutes'!G:G,"ALD")</f>
        <v>0</v>
      </c>
      <c r="E232" s="155">
        <f>COUNTIFS('Données brutes'!F:F,"HC",'Données brutes'!E:E,"MATHILDE",'Données brutes'!G:G,"ALD")</f>
        <v>0</v>
      </c>
      <c r="F232" s="90">
        <f>COUNTIFS('Données brutes'!F:F,"tir raté NC",'Données brutes'!E:E,"MATHILDE",'Données brutes'!G:G,"ALD")</f>
        <v>0</v>
      </c>
      <c r="G232" s="122"/>
      <c r="H232" s="490"/>
      <c r="I232" s="73" t="s">
        <v>17</v>
      </c>
      <c r="J232" s="91">
        <f t="shared" si="88"/>
        <v>0</v>
      </c>
      <c r="K232" s="90">
        <f t="shared" si="89"/>
        <v>0</v>
      </c>
      <c r="L232" s="92" t="e">
        <f t="shared" si="90"/>
        <v>#DIV/0!</v>
      </c>
      <c r="M232" s="404"/>
      <c r="N232" s="325"/>
      <c r="O232" s="325"/>
      <c r="P232" s="326"/>
      <c r="Q232" s="62"/>
      <c r="R232" s="62"/>
      <c r="S232" s="490"/>
      <c r="T232" s="73" t="s">
        <v>17</v>
      </c>
      <c r="U232" s="91">
        <f t="shared" si="91"/>
        <v>0</v>
      </c>
      <c r="V232" s="90">
        <f t="shared" si="92"/>
        <v>0</v>
      </c>
      <c r="W232" s="92" t="e">
        <f t="shared" si="93"/>
        <v>#DIV/0!</v>
      </c>
    </row>
    <row r="233" spans="1:23" ht="15" customHeight="1" thickBot="1" x14ac:dyDescent="0.4">
      <c r="A233" s="491" t="s">
        <v>299</v>
      </c>
      <c r="B233" s="87" t="s">
        <v>301</v>
      </c>
      <c r="C233" s="152">
        <f>COUNTIFS('Données brutes'!F:F,"But",'Données brutes'!E:E,"MATHILDE",'Données brutes'!G:G,"Central 7m 9m appui")</f>
        <v>1</v>
      </c>
      <c r="D233" s="90">
        <f>COUNTIFS('Données brutes'!F:F,"Ar GB",'Données brutes'!E:E,"MATHILDE",'Données brutes'!G:G,"Central 7m 9m appui")</f>
        <v>0</v>
      </c>
      <c r="E233" s="90">
        <f>COUNTIFS('Données brutes'!F:F,"HC",'Données brutes'!E:E,"MATHILDE",'Données brutes'!G:G,"Central 7m 9m appui")</f>
        <v>2</v>
      </c>
      <c r="F233" s="90">
        <f>COUNTIFS('Données brutes'!F:F,"tir raté NC",'Données brutes'!E:E,"MATHILDE",'Données brutes'!G:G,"ALD")</f>
        <v>0</v>
      </c>
      <c r="G233" s="121"/>
      <c r="H233" s="491" t="s">
        <v>299</v>
      </c>
      <c r="I233" s="32" t="s">
        <v>301</v>
      </c>
      <c r="J233" s="91">
        <f t="shared" si="88"/>
        <v>1</v>
      </c>
      <c r="K233" s="90">
        <f t="shared" si="89"/>
        <v>3</v>
      </c>
      <c r="L233" s="92">
        <f t="shared" si="90"/>
        <v>0.33333333333333331</v>
      </c>
      <c r="M233" s="495" t="s">
        <v>299</v>
      </c>
      <c r="N233" s="319">
        <f>SUM(J233:J235)</f>
        <v>1</v>
      </c>
      <c r="O233" s="319">
        <f>SUM(K233:K235)</f>
        <v>4</v>
      </c>
      <c r="P233" s="322">
        <f>N233/O233</f>
        <v>0.25</v>
      </c>
      <c r="Q233" s="62"/>
      <c r="R233" s="62"/>
      <c r="S233" s="491" t="s">
        <v>299</v>
      </c>
      <c r="T233" s="32" t="s">
        <v>301</v>
      </c>
      <c r="U233" s="91">
        <f t="shared" si="91"/>
        <v>0.25</v>
      </c>
      <c r="V233" s="90">
        <f t="shared" si="92"/>
        <v>0.75</v>
      </c>
      <c r="W233" s="92">
        <f t="shared" si="93"/>
        <v>0.33333333333333331</v>
      </c>
    </row>
    <row r="234" spans="1:23" ht="15" thickBot="1" x14ac:dyDescent="0.4">
      <c r="A234" s="495"/>
      <c r="B234" s="13" t="s">
        <v>302</v>
      </c>
      <c r="C234" s="153">
        <f>COUNTIFS('Données brutes'!F:F,"But",'Données brutes'!E:E,"MATHILDE",'Données brutes'!G:G,"7m 9m Ext G appui")</f>
        <v>0</v>
      </c>
      <c r="D234" s="61">
        <f>COUNTIFS('Données brutes'!F:F,"Ar GB",'Données brutes'!E:E,"MATHILDE",'Données brutes'!G:G,"7m 9m Ext G appui")</f>
        <v>0</v>
      </c>
      <c r="E234" s="61">
        <f>COUNTIFS('Données brutes'!F:F,"HC",'Données brutes'!E:E,"MATHILDE",'Données brutes'!G:G,"7m 9m Ext G appui")</f>
        <v>0</v>
      </c>
      <c r="F234" s="90">
        <f>COUNTIFS('Données brutes'!F:F,"tir raté NC",'Données brutes'!E:E,"MATHILDE",'Données brutes'!G:G,"7m 9m Ext G appui")</f>
        <v>0</v>
      </c>
      <c r="G234" s="62"/>
      <c r="H234" s="495"/>
      <c r="I234" s="33" t="s">
        <v>302</v>
      </c>
      <c r="J234" s="91">
        <f t="shared" si="88"/>
        <v>0</v>
      </c>
      <c r="K234" s="90">
        <f t="shared" si="89"/>
        <v>0</v>
      </c>
      <c r="L234" s="92" t="e">
        <f t="shared" si="90"/>
        <v>#DIV/0!</v>
      </c>
      <c r="M234" s="495"/>
      <c r="N234" s="325"/>
      <c r="O234" s="325"/>
      <c r="P234" s="326"/>
      <c r="Q234" s="62"/>
      <c r="R234" s="62"/>
      <c r="S234" s="495"/>
      <c r="T234" s="33" t="s">
        <v>302</v>
      </c>
      <c r="U234" s="91">
        <f t="shared" si="91"/>
        <v>0</v>
      </c>
      <c r="V234" s="90">
        <f t="shared" si="92"/>
        <v>0</v>
      </c>
      <c r="W234" s="92" t="e">
        <f t="shared" si="93"/>
        <v>#DIV/0!</v>
      </c>
    </row>
    <row r="235" spans="1:23" ht="15" thickBot="1" x14ac:dyDescent="0.4">
      <c r="A235" s="492"/>
      <c r="B235" s="36" t="s">
        <v>303</v>
      </c>
      <c r="C235" s="154">
        <f>COUNTIFS('Données brutes'!F:F,"But",'Données brutes'!E:E,"MATHILDE",'Données brutes'!G:G,"7m 9m Ext D appui")</f>
        <v>0</v>
      </c>
      <c r="D235" s="155">
        <f>COUNTIFS('Données brutes'!F:F,"Ar GB",'Données brutes'!E:E,"MATHILDE",'Données brutes'!G:G,"7m 9m Ext D appui")</f>
        <v>0</v>
      </c>
      <c r="E235" s="155">
        <f>COUNTIFS('Données brutes'!F:F,"HC",'Données brutes'!E:E,"MATHILDE",'Données brutes'!G:G,"7m 9m Ext D appui")</f>
        <v>1</v>
      </c>
      <c r="F235" s="90">
        <f>COUNTIFS('Données brutes'!F:F,"tir raté NC",'Données brutes'!E:E,"MATHILDE",'Données brutes'!G:G,"ALD")</f>
        <v>0</v>
      </c>
      <c r="G235" s="122"/>
      <c r="H235" s="492"/>
      <c r="I235" s="73" t="s">
        <v>303</v>
      </c>
      <c r="J235" s="91">
        <f t="shared" si="88"/>
        <v>0</v>
      </c>
      <c r="K235" s="90">
        <f t="shared" si="89"/>
        <v>1</v>
      </c>
      <c r="L235" s="92">
        <f t="shared" si="90"/>
        <v>0</v>
      </c>
      <c r="M235" s="495"/>
      <c r="N235" s="325"/>
      <c r="O235" s="325"/>
      <c r="P235" s="326"/>
      <c r="Q235" s="62"/>
      <c r="R235" s="62"/>
      <c r="S235" s="492"/>
      <c r="T235" s="73" t="s">
        <v>303</v>
      </c>
      <c r="U235" s="91">
        <f t="shared" si="91"/>
        <v>0</v>
      </c>
      <c r="V235" s="90">
        <f t="shared" si="92"/>
        <v>0.25</v>
      </c>
      <c r="W235" s="92">
        <f t="shared" si="93"/>
        <v>0</v>
      </c>
    </row>
    <row r="236" spans="1:23" ht="15" customHeight="1" thickBot="1" x14ac:dyDescent="0.4">
      <c r="A236" s="493" t="s">
        <v>300</v>
      </c>
      <c r="B236" s="87" t="s">
        <v>304</v>
      </c>
      <c r="C236" s="152">
        <f>COUNTIFS('Données brutes'!F:F,"But",'Données brutes'!E:E,"MATHILDE",'Données brutes'!G:G,"7m 9m central suspension")</f>
        <v>0</v>
      </c>
      <c r="D236" s="90">
        <f>COUNTIFS('Données brutes'!F:F,"Ar GB",'Données brutes'!E:E,"MATHILDE",'Données brutes'!G:G,"7m 9m central suspension")</f>
        <v>0</v>
      </c>
      <c r="E236" s="90">
        <f>COUNTIFS('Données brutes'!F:F,"HC",'Données brutes'!E:E,"MATHILDE",'Données brutes'!G:G,"7m 9m central suspension")</f>
        <v>0</v>
      </c>
      <c r="F236" s="90">
        <f>COUNTIFS('Données brutes'!F:F,"tir raté NC",'Données brutes'!E:E,"MATHILDE",'Données brutes'!G:G,"ALD")</f>
        <v>0</v>
      </c>
      <c r="G236" s="121"/>
      <c r="H236" s="493" t="s">
        <v>300</v>
      </c>
      <c r="I236" s="32" t="s">
        <v>304</v>
      </c>
      <c r="J236" s="91">
        <f t="shared" si="88"/>
        <v>0</v>
      </c>
      <c r="K236" s="90">
        <f t="shared" si="89"/>
        <v>0</v>
      </c>
      <c r="L236" s="92" t="e">
        <f t="shared" si="90"/>
        <v>#DIV/0!</v>
      </c>
      <c r="M236" s="495" t="s">
        <v>300</v>
      </c>
      <c r="N236" s="319">
        <f>SUM(J236:J238)</f>
        <v>0</v>
      </c>
      <c r="O236" s="319">
        <f>SUM(K236:K238)</f>
        <v>1</v>
      </c>
      <c r="P236" s="322">
        <f>N236/O236</f>
        <v>0</v>
      </c>
      <c r="Q236" s="62"/>
      <c r="R236" s="62"/>
      <c r="S236" s="493" t="s">
        <v>300</v>
      </c>
      <c r="T236" s="32" t="s">
        <v>304</v>
      </c>
      <c r="U236" s="91">
        <f t="shared" si="91"/>
        <v>0</v>
      </c>
      <c r="V236" s="90">
        <f t="shared" si="92"/>
        <v>0</v>
      </c>
      <c r="W236" s="92" t="e">
        <f t="shared" si="93"/>
        <v>#DIV/0!</v>
      </c>
    </row>
    <row r="237" spans="1:23" ht="15" thickBot="1" x14ac:dyDescent="0.4">
      <c r="A237" s="506"/>
      <c r="B237" s="13" t="s">
        <v>305</v>
      </c>
      <c r="C237" s="153">
        <f>COUNTIFS('Données brutes'!F:F,"But",'Données brutes'!E:E,"MATHILDE",'Données brutes'!G:G,"7m 9m Ext G suspension")</f>
        <v>0</v>
      </c>
      <c r="D237" s="61">
        <f>COUNTIFS('Données brutes'!F:F,"Ar GB",'Données brutes'!E:E,"MATHILDE",'Données brutes'!G:G,"7m 9m Ext G suspension")</f>
        <v>0</v>
      </c>
      <c r="E237" s="61">
        <f>COUNTIFS('Données brutes'!F:F,"HC",'Données brutes'!E:E,"MATHILDE",'Données brutes'!G:G,"7m 9m Ext G suspension")</f>
        <v>0</v>
      </c>
      <c r="F237" s="90">
        <f>COUNTIFS('Données brutes'!F:F,"tir raté NC",'Données brutes'!E:E,"MATHILDE",'Données brutes'!G:G,"ALD")</f>
        <v>0</v>
      </c>
      <c r="G237" s="62"/>
      <c r="H237" s="506"/>
      <c r="I237" s="33" t="s">
        <v>305</v>
      </c>
      <c r="J237" s="91">
        <f t="shared" si="88"/>
        <v>0</v>
      </c>
      <c r="K237" s="90">
        <f t="shared" si="89"/>
        <v>0</v>
      </c>
      <c r="L237" s="92" t="e">
        <f t="shared" si="90"/>
        <v>#DIV/0!</v>
      </c>
      <c r="M237" s="495"/>
      <c r="N237" s="325"/>
      <c r="O237" s="325"/>
      <c r="P237" s="326"/>
      <c r="Q237" s="62"/>
      <c r="R237" s="62"/>
      <c r="S237" s="506"/>
      <c r="T237" s="33" t="s">
        <v>305</v>
      </c>
      <c r="U237" s="91">
        <f t="shared" si="91"/>
        <v>0</v>
      </c>
      <c r="V237" s="90">
        <f t="shared" si="92"/>
        <v>0</v>
      </c>
      <c r="W237" s="92" t="e">
        <f t="shared" si="93"/>
        <v>#DIV/0!</v>
      </c>
    </row>
    <row r="238" spans="1:23" ht="15" thickBot="1" x14ac:dyDescent="0.4">
      <c r="A238" s="494"/>
      <c r="B238" s="36" t="s">
        <v>306</v>
      </c>
      <c r="C238" s="153">
        <f>COUNTIFS('Données brutes'!F:F,"But",'Données brutes'!E:E,"MATHILDE",'Données brutes'!G:G,"7m 9m Ext D suspension")</f>
        <v>0</v>
      </c>
      <c r="D238" s="61">
        <f>COUNTIFS('Données brutes'!F:F,"Ar GB",'Données brutes'!E:E,"MATHILDE",'Données brutes'!G:G,"7m 9m Ext D suspension")</f>
        <v>1</v>
      </c>
      <c r="E238" s="61">
        <f>COUNTIFS('Données brutes'!F:F,"HC",'Données brutes'!E:E,"MATHILDE",'Données brutes'!G:G,"7m 9m Ext D suspension")</f>
        <v>0</v>
      </c>
      <c r="F238" s="90">
        <f>COUNTIFS('Données brutes'!F:F,"tir raté NC",'Données brutes'!E:E,"MATHILDE",'Données brutes'!G:G,"7m 9m Ext D suspension")</f>
        <v>0</v>
      </c>
      <c r="G238" s="122"/>
      <c r="H238" s="494"/>
      <c r="I238" s="73" t="s">
        <v>306</v>
      </c>
      <c r="J238" s="91">
        <f t="shared" si="88"/>
        <v>0</v>
      </c>
      <c r="K238" s="90">
        <f t="shared" si="89"/>
        <v>1</v>
      </c>
      <c r="L238" s="92">
        <f t="shared" si="90"/>
        <v>0</v>
      </c>
      <c r="M238" s="495"/>
      <c r="N238" s="325"/>
      <c r="O238" s="325"/>
      <c r="P238" s="326"/>
      <c r="Q238" s="62"/>
      <c r="R238" s="62"/>
      <c r="S238" s="494"/>
      <c r="T238" s="73" t="s">
        <v>306</v>
      </c>
      <c r="U238" s="91">
        <f t="shared" si="91"/>
        <v>0</v>
      </c>
      <c r="V238" s="90">
        <f t="shared" si="92"/>
        <v>0.25</v>
      </c>
      <c r="W238" s="92">
        <f t="shared" si="93"/>
        <v>0</v>
      </c>
    </row>
    <row r="239" spans="1:23" ht="15" thickBot="1" x14ac:dyDescent="0.4">
      <c r="A239" s="407" t="s">
        <v>146</v>
      </c>
      <c r="B239" s="87" t="s">
        <v>307</v>
      </c>
      <c r="C239" s="152">
        <f>COUNTIFS('Données brutes'!F:F,"But",'Données brutes'!E:E,"MATHILDE",'Données brutes'!G:G,"9m G")</f>
        <v>0</v>
      </c>
      <c r="D239" s="90">
        <f>COUNTIFS('Données brutes'!F:F,"Ar GB",'Données brutes'!E:E,"MATHILDE",'Données brutes'!G:G,"9m G")</f>
        <v>0</v>
      </c>
      <c r="E239" s="90">
        <f>COUNTIFS('Données brutes'!F:F,"HC",'Données brutes'!E:E,"MATHILDE",'Données brutes'!G:G,"9m G")</f>
        <v>0</v>
      </c>
      <c r="F239" s="90">
        <f>COUNTIFS('Données brutes'!F:F,"tir raté NC",'Données brutes'!E:E,"MATHILDE",'Données brutes'!G:G,"9m G")</f>
        <v>0</v>
      </c>
      <c r="G239" s="121"/>
      <c r="H239" s="407" t="s">
        <v>146</v>
      </c>
      <c r="I239" s="32" t="s">
        <v>307</v>
      </c>
      <c r="J239" s="91">
        <f t="shared" si="88"/>
        <v>0</v>
      </c>
      <c r="K239" s="90">
        <f t="shared" si="89"/>
        <v>0</v>
      </c>
      <c r="L239" s="92" t="e">
        <f t="shared" si="90"/>
        <v>#DIV/0!</v>
      </c>
      <c r="M239" s="404" t="s">
        <v>146</v>
      </c>
      <c r="N239" s="319">
        <f>SUM(J239:J241)</f>
        <v>0</v>
      </c>
      <c r="O239" s="319">
        <f>SUM(K239:K241)</f>
        <v>0</v>
      </c>
      <c r="P239" s="322" t="e">
        <f>N239/O239</f>
        <v>#DIV/0!</v>
      </c>
      <c r="Q239" s="62"/>
      <c r="R239" s="62"/>
      <c r="S239" s="407" t="s">
        <v>146</v>
      </c>
      <c r="T239" s="32" t="s">
        <v>307</v>
      </c>
      <c r="U239" s="91">
        <f t="shared" si="91"/>
        <v>0</v>
      </c>
      <c r="V239" s="90">
        <f t="shared" si="92"/>
        <v>0</v>
      </c>
      <c r="W239" s="92" t="e">
        <f t="shared" si="93"/>
        <v>#DIV/0!</v>
      </c>
    </row>
    <row r="240" spans="1:23" ht="15" thickBot="1" x14ac:dyDescent="0.4">
      <c r="A240" s="404"/>
      <c r="B240" s="13" t="s">
        <v>308</v>
      </c>
      <c r="C240" s="152">
        <f>COUNTIFS('Données brutes'!F:F,"But",'Données brutes'!E:E,"MATHILDE",'Données brutes'!G:G,"9m +")</f>
        <v>0</v>
      </c>
      <c r="D240" s="90">
        <f>COUNTIFS('Données brutes'!F:F,"Ar GB",'Données brutes'!E:E,"MATHILDE",'Données brutes'!G:G,"9m +")</f>
        <v>0</v>
      </c>
      <c r="E240" s="90">
        <f>COUNTIFS('Données brutes'!F:F,"HC",'Données brutes'!E:E,"MATHILDE",'Données brutes'!G:G,"9m +")</f>
        <v>0</v>
      </c>
      <c r="F240" s="90">
        <f>COUNTIFS('Données brutes'!F:F,"tir raté NC",'Données brutes'!E:E,"MATHILDE",'Données brutes'!G:G,"9m +")</f>
        <v>0</v>
      </c>
      <c r="G240" s="62"/>
      <c r="H240" s="404"/>
      <c r="I240" s="33" t="s">
        <v>308</v>
      </c>
      <c r="J240" s="91">
        <f t="shared" si="88"/>
        <v>0</v>
      </c>
      <c r="K240" s="90">
        <f t="shared" si="89"/>
        <v>0</v>
      </c>
      <c r="L240" s="92" t="e">
        <f t="shared" si="90"/>
        <v>#DIV/0!</v>
      </c>
      <c r="M240" s="404"/>
      <c r="N240" s="325"/>
      <c r="O240" s="325"/>
      <c r="P240" s="326"/>
      <c r="Q240" s="62"/>
      <c r="R240" s="62"/>
      <c r="S240" s="404"/>
      <c r="T240" s="33" t="s">
        <v>308</v>
      </c>
      <c r="U240" s="91">
        <f t="shared" si="91"/>
        <v>0</v>
      </c>
      <c r="V240" s="90">
        <f t="shared" si="92"/>
        <v>0</v>
      </c>
      <c r="W240" s="92" t="e">
        <f t="shared" si="93"/>
        <v>#DIV/0!</v>
      </c>
    </row>
    <row r="241" spans="1:23" ht="15" thickBot="1" x14ac:dyDescent="0.4">
      <c r="A241" s="490"/>
      <c r="B241" s="36" t="s">
        <v>309</v>
      </c>
      <c r="C241" s="152">
        <f>COUNTIFS('Données brutes'!F:F,"But",'Données brutes'!E:E,"MATHILDE",'Données brutes'!G:G,"9m D")</f>
        <v>0</v>
      </c>
      <c r="D241" s="90">
        <f>COUNTIFS('Données brutes'!F:F,"Ar GB",'Données brutes'!E:E,"MATHILDE",'Données brutes'!G:G,"9m D")</f>
        <v>0</v>
      </c>
      <c r="E241" s="90">
        <f>COUNTIFS('Données brutes'!F:F,"HC",'Données brutes'!E:E,"MATHILDE",'Données brutes'!G:G,"9m D")</f>
        <v>0</v>
      </c>
      <c r="F241" s="90">
        <f>COUNTIFS('Données brutes'!F:F,"tir raté NC",'Données brutes'!E:E,"MATHILDE",'Données brutes'!G:G,"9m D")</f>
        <v>0</v>
      </c>
      <c r="G241" s="122"/>
      <c r="H241" s="490"/>
      <c r="I241" s="73" t="s">
        <v>309</v>
      </c>
      <c r="J241" s="91">
        <f t="shared" si="88"/>
        <v>0</v>
      </c>
      <c r="K241" s="90">
        <f t="shared" si="89"/>
        <v>0</v>
      </c>
      <c r="L241" s="92" t="e">
        <f t="shared" si="90"/>
        <v>#DIV/0!</v>
      </c>
      <c r="M241" s="404"/>
      <c r="N241" s="325"/>
      <c r="O241" s="325"/>
      <c r="P241" s="326"/>
      <c r="Q241" s="62"/>
      <c r="R241" s="62"/>
      <c r="S241" s="490"/>
      <c r="T241" s="73" t="s">
        <v>309</v>
      </c>
      <c r="U241" s="91">
        <f t="shared" si="91"/>
        <v>0</v>
      </c>
      <c r="V241" s="90">
        <f t="shared" si="92"/>
        <v>0</v>
      </c>
      <c r="W241" s="92" t="e">
        <f t="shared" si="93"/>
        <v>#DIV/0!</v>
      </c>
    </row>
    <row r="242" spans="1:23" ht="15" customHeight="1" thickBot="1" x14ac:dyDescent="0.4">
      <c r="A242" s="493" t="s">
        <v>310</v>
      </c>
      <c r="B242" s="87" t="s">
        <v>22</v>
      </c>
      <c r="C242" s="152">
        <f>COUNTIFS('Données brutes'!F:F,"But",'Données brutes'!E:E,"MATHILDE",'Données brutes'!G:G,"But vide")</f>
        <v>0</v>
      </c>
      <c r="D242" s="90">
        <f>COUNTIFS('Données brutes'!F:F,"Ar GB",'Données brutes'!E:E,"MATHILDE",'Données brutes'!G:G,"But vide")</f>
        <v>0</v>
      </c>
      <c r="E242" s="90">
        <f>COUNTIFS('Données brutes'!F:F,"HC",'Données brutes'!E:E,"MATHILDE",'Données brutes'!G:G,"But vide")</f>
        <v>0</v>
      </c>
      <c r="F242" s="90">
        <f>COUNTIFS('Données brutes'!F:F,"tir raté NC",'Données brutes'!E:E,"MATHILDE",'Données brutes'!G:G,"But vide")</f>
        <v>0</v>
      </c>
      <c r="G242" s="121"/>
      <c r="H242" s="493" t="s">
        <v>310</v>
      </c>
      <c r="I242" s="32" t="s">
        <v>22</v>
      </c>
      <c r="J242" s="91">
        <f t="shared" si="88"/>
        <v>0</v>
      </c>
      <c r="K242" s="90">
        <f t="shared" si="89"/>
        <v>0</v>
      </c>
      <c r="L242" s="92" t="e">
        <f t="shared" si="90"/>
        <v>#DIV/0!</v>
      </c>
      <c r="M242" s="495" t="s">
        <v>310</v>
      </c>
      <c r="N242" s="319">
        <f>J242+J243</f>
        <v>0</v>
      </c>
      <c r="O242" s="319">
        <f>K242+K243</f>
        <v>1</v>
      </c>
      <c r="P242" s="322">
        <f>N242/O242</f>
        <v>0</v>
      </c>
      <c r="Q242" s="62"/>
      <c r="R242" s="62"/>
      <c r="S242" s="493" t="s">
        <v>310</v>
      </c>
      <c r="T242" s="32" t="s">
        <v>22</v>
      </c>
      <c r="U242" s="91">
        <f t="shared" si="91"/>
        <v>0</v>
      </c>
      <c r="V242" s="90">
        <f t="shared" si="92"/>
        <v>0</v>
      </c>
      <c r="W242" s="92" t="e">
        <f t="shared" si="93"/>
        <v>#DIV/0!</v>
      </c>
    </row>
    <row r="243" spans="1:23" ht="15" thickBot="1" x14ac:dyDescent="0.4">
      <c r="A243" s="494"/>
      <c r="B243" s="36" t="s">
        <v>12</v>
      </c>
      <c r="C243" s="152">
        <f>COUNTIFS('Données brutes'!F:F,"But",'Données brutes'!E:E,"MATHILDE",'Données brutes'!G:G,"CA MB")</f>
        <v>0</v>
      </c>
      <c r="D243" s="90">
        <f>COUNTIFS('Données brutes'!F:F,"Ar GB",'Données brutes'!E:E,"MATHILDE",'Données brutes'!G:G,"CA MB")</f>
        <v>1</v>
      </c>
      <c r="E243" s="90">
        <f>COUNTIFS('Données brutes'!F:F,"HC",'Données brutes'!E:E,"MATHILDE",'Données brutes'!G:G,"CA MB")</f>
        <v>0</v>
      </c>
      <c r="F243" s="90">
        <f>COUNTIFS('Données brutes'!F:F,"tir raté NC",'Données brutes'!E:E,"MATHILDE",'Données brutes'!G:G,"CA MB")</f>
        <v>0</v>
      </c>
      <c r="G243" s="122"/>
      <c r="H243" s="494"/>
      <c r="I243" s="73" t="s">
        <v>12</v>
      </c>
      <c r="J243" s="91">
        <f t="shared" si="88"/>
        <v>0</v>
      </c>
      <c r="K243" s="90">
        <f t="shared" si="89"/>
        <v>1</v>
      </c>
      <c r="L243" s="92">
        <f t="shared" si="90"/>
        <v>0</v>
      </c>
      <c r="M243" s="495"/>
      <c r="N243" s="325"/>
      <c r="O243" s="325"/>
      <c r="P243" s="326"/>
      <c r="Q243" s="62"/>
      <c r="R243" s="62"/>
      <c r="S243" s="494"/>
      <c r="T243" s="73" t="s">
        <v>12</v>
      </c>
      <c r="U243" s="91">
        <f t="shared" si="91"/>
        <v>0</v>
      </c>
      <c r="V243" s="90">
        <f t="shared" si="92"/>
        <v>0.25</v>
      </c>
      <c r="W243" s="92">
        <f t="shared" si="93"/>
        <v>0</v>
      </c>
    </row>
    <row r="244" spans="1:23" ht="15" thickBot="1" x14ac:dyDescent="0.4">
      <c r="A244" s="488" t="s">
        <v>311</v>
      </c>
      <c r="B244" s="507"/>
      <c r="C244" s="156">
        <f>SUM(C226:C243)</f>
        <v>6</v>
      </c>
      <c r="D244" s="157">
        <f t="shared" ref="D244:E244" si="94">SUM(D226:D243)</f>
        <v>6</v>
      </c>
      <c r="E244" s="157">
        <f t="shared" si="94"/>
        <v>6</v>
      </c>
      <c r="F244" s="157">
        <f>SUM(F226:F239)</f>
        <v>3</v>
      </c>
      <c r="G244" s="123"/>
      <c r="H244" s="488" t="s">
        <v>311</v>
      </c>
      <c r="I244" s="489"/>
      <c r="J244" s="91">
        <f t="shared" si="88"/>
        <v>6</v>
      </c>
      <c r="K244" s="90">
        <f t="shared" si="89"/>
        <v>18</v>
      </c>
      <c r="L244" s="92">
        <f t="shared" si="90"/>
        <v>0.33333333333333331</v>
      </c>
      <c r="M244" s="324"/>
      <c r="N244" s="325"/>
      <c r="O244" s="325"/>
      <c r="P244" s="326"/>
      <c r="Q244" s="62"/>
      <c r="R244" s="62"/>
      <c r="S244" s="488" t="s">
        <v>311</v>
      </c>
      <c r="T244" s="489"/>
      <c r="U244" s="91">
        <f t="shared" si="91"/>
        <v>1.5</v>
      </c>
      <c r="V244" s="90">
        <f t="shared" si="92"/>
        <v>4.5</v>
      </c>
      <c r="W244" s="92">
        <f t="shared" si="93"/>
        <v>0.33333333333333331</v>
      </c>
    </row>
    <row r="245" spans="1:23" ht="15" thickBot="1" x14ac:dyDescent="0.4">
      <c r="A245" s="94"/>
      <c r="B245" s="87" t="s">
        <v>59</v>
      </c>
      <c r="C245" s="152">
        <f>COUNTIFS('Données brutes'!F:F,"But",'Données brutes'!E:E,"MATHILDE",'Données brutes'!G:G,"Jet 7m")</f>
        <v>1</v>
      </c>
      <c r="D245" s="90">
        <f>COUNTIFS('Données brutes'!F:F,"Ar GB",'Données brutes'!E:E,"MATHILDE",'Données brutes'!G:G,"Jet 7m")</f>
        <v>0</v>
      </c>
      <c r="E245" s="90">
        <f>COUNTIFS('Données brutes'!F:F,"HC",'Données brutes'!E:E,"MATHILDE",'Données brutes'!G:G,"Jet 7m")</f>
        <v>0</v>
      </c>
      <c r="F245" s="90">
        <f>COUNTIFS('Données brutes'!F:F,"tir raté NC",'Données brutes'!E:E,"MATHILDE",'Données brutes'!G:G,"Jet 7m")</f>
        <v>0</v>
      </c>
      <c r="G245" s="508"/>
      <c r="H245" s="94"/>
      <c r="I245" s="32" t="s">
        <v>59</v>
      </c>
      <c r="J245" s="91">
        <f t="shared" si="88"/>
        <v>1</v>
      </c>
      <c r="K245" s="90">
        <f t="shared" si="89"/>
        <v>1</v>
      </c>
      <c r="L245" s="92">
        <f t="shared" si="90"/>
        <v>1</v>
      </c>
      <c r="M245" s="324"/>
      <c r="N245" s="325"/>
      <c r="O245" s="325"/>
      <c r="P245" s="326"/>
      <c r="Q245" s="62"/>
      <c r="R245" s="62"/>
      <c r="S245" s="94"/>
      <c r="T245" s="32" t="s">
        <v>59</v>
      </c>
      <c r="U245" s="91">
        <f t="shared" si="91"/>
        <v>0.25</v>
      </c>
      <c r="V245" s="90">
        <f t="shared" si="92"/>
        <v>0.25</v>
      </c>
      <c r="W245" s="92">
        <f t="shared" si="93"/>
        <v>1</v>
      </c>
    </row>
    <row r="246" spans="1:23" ht="15" thickBot="1" x14ac:dyDescent="0.4">
      <c r="A246" s="490" t="s">
        <v>312</v>
      </c>
      <c r="B246" s="510"/>
      <c r="C246" s="156">
        <f>C244+C245</f>
        <v>7</v>
      </c>
      <c r="D246" s="156">
        <f t="shared" ref="D246" si="95">D244+D245</f>
        <v>6</v>
      </c>
      <c r="E246" s="156">
        <f t="shared" ref="E246" si="96">E244+E245</f>
        <v>6</v>
      </c>
      <c r="F246" s="156">
        <f t="shared" ref="F246" si="97">F244+F245</f>
        <v>3</v>
      </c>
      <c r="G246" s="509"/>
      <c r="H246" s="490" t="s">
        <v>312</v>
      </c>
      <c r="I246" s="511"/>
      <c r="J246" s="91">
        <f t="shared" si="88"/>
        <v>7</v>
      </c>
      <c r="K246" s="90">
        <f t="shared" si="89"/>
        <v>19</v>
      </c>
      <c r="L246" s="92">
        <f t="shared" si="90"/>
        <v>0.36842105263157893</v>
      </c>
      <c r="M246" s="327"/>
      <c r="N246" s="328"/>
      <c r="O246" s="328"/>
      <c r="P246" s="329"/>
      <c r="Q246" s="122"/>
      <c r="R246" s="122"/>
      <c r="S246" s="490" t="s">
        <v>312</v>
      </c>
      <c r="T246" s="511"/>
      <c r="U246" s="91">
        <f t="shared" si="91"/>
        <v>1.75</v>
      </c>
      <c r="V246" s="90">
        <f t="shared" si="92"/>
        <v>4.75</v>
      </c>
      <c r="W246" s="92">
        <f t="shared" si="93"/>
        <v>0.36842105263157893</v>
      </c>
    </row>
    <row r="247" spans="1:23" ht="15" thickBot="1" x14ac:dyDescent="0.4"/>
    <row r="248" spans="1:23" ht="26.5" thickBot="1" x14ac:dyDescent="0.4">
      <c r="A248" s="514" t="s">
        <v>371</v>
      </c>
      <c r="B248" s="515"/>
      <c r="C248" s="515"/>
      <c r="D248" s="515"/>
      <c r="E248" s="515"/>
      <c r="F248" s="515"/>
      <c r="G248" s="121"/>
      <c r="H248" s="425" t="s">
        <v>333</v>
      </c>
      <c r="I248" s="425"/>
      <c r="J248" s="425"/>
      <c r="K248" s="425"/>
      <c r="L248" s="425"/>
      <c r="M248" s="309"/>
      <c r="N248" s="309"/>
      <c r="O248" s="309"/>
      <c r="P248" s="309"/>
      <c r="Q248" s="121"/>
      <c r="R248" s="124" t="s">
        <v>335</v>
      </c>
      <c r="S248" s="425" t="s">
        <v>334</v>
      </c>
      <c r="T248" s="425"/>
      <c r="U248" s="425"/>
      <c r="V248" s="425"/>
      <c r="W248" s="426"/>
    </row>
    <row r="249" spans="1:23" ht="29.5" thickBot="1" x14ac:dyDescent="0.4">
      <c r="A249" s="403" t="s">
        <v>5</v>
      </c>
      <c r="B249" s="512"/>
      <c r="C249" s="118" t="s">
        <v>33</v>
      </c>
      <c r="D249" s="118" t="s">
        <v>20</v>
      </c>
      <c r="E249" s="118" t="s">
        <v>10</v>
      </c>
      <c r="F249" s="118" t="s">
        <v>277</v>
      </c>
      <c r="G249" s="62"/>
      <c r="H249" s="513" t="s">
        <v>5</v>
      </c>
      <c r="I249" s="421"/>
      <c r="J249" s="93" t="s">
        <v>33</v>
      </c>
      <c r="K249" s="119" t="s">
        <v>326</v>
      </c>
      <c r="L249" s="120" t="s">
        <v>150</v>
      </c>
      <c r="M249" s="310"/>
      <c r="N249" s="320" t="s">
        <v>33</v>
      </c>
      <c r="O249" s="320" t="s">
        <v>326</v>
      </c>
      <c r="P249" s="321" t="s">
        <v>150</v>
      </c>
      <c r="Q249" s="62"/>
      <c r="R249" s="125">
        <f>'Matchs joués'!B16</f>
        <v>0</v>
      </c>
      <c r="S249" s="513" t="s">
        <v>5</v>
      </c>
      <c r="T249" s="421"/>
      <c r="U249" s="93" t="s">
        <v>33</v>
      </c>
      <c r="V249" s="119" t="s">
        <v>326</v>
      </c>
      <c r="W249" s="120" t="s">
        <v>150</v>
      </c>
    </row>
    <row r="250" spans="1:23" ht="15" thickBot="1" x14ac:dyDescent="0.4">
      <c r="A250" s="407" t="s">
        <v>295</v>
      </c>
      <c r="B250" s="87" t="s">
        <v>15</v>
      </c>
      <c r="C250" s="152">
        <f>COUNTIFS('Données brutes'!F:F,"But",'Données brutes'!E:E,"INES",'Données brutes'!G:G,"ALG")</f>
        <v>0</v>
      </c>
      <c r="D250" s="90">
        <f>COUNTIFS('Données brutes'!F:F,"Ar GB",'Données brutes'!E:E,"INES",'Données brutes'!G:G,"ALG")</f>
        <v>0</v>
      </c>
      <c r="E250" s="90">
        <f>COUNTIFS('Données brutes'!F:F,"HC",'Données brutes'!E:E,"INES",'Données brutes'!G:G,"ALG")</f>
        <v>0</v>
      </c>
      <c r="F250" s="90">
        <f>COUNTIFS('Données brutes'!F:F,"tir raté NC",'Données brutes'!E:E,"INES",'Données brutes'!G:G,"ALG")</f>
        <v>0</v>
      </c>
      <c r="G250" s="121"/>
      <c r="H250" s="407" t="s">
        <v>295</v>
      </c>
      <c r="I250" s="32" t="s">
        <v>15</v>
      </c>
      <c r="J250" s="91">
        <f>$C250</f>
        <v>0</v>
      </c>
      <c r="K250" s="90">
        <f>$C250+$D250+$E250</f>
        <v>0</v>
      </c>
      <c r="L250" s="92" t="e">
        <f>J250/K250</f>
        <v>#DIV/0!</v>
      </c>
      <c r="M250" s="404" t="s">
        <v>295</v>
      </c>
      <c r="N250" s="496" t="s">
        <v>394</v>
      </c>
      <c r="O250" s="496"/>
      <c r="P250" s="497"/>
      <c r="Q250" s="62"/>
      <c r="R250" s="62"/>
      <c r="S250" s="407" t="s">
        <v>295</v>
      </c>
      <c r="T250" s="32" t="s">
        <v>15</v>
      </c>
      <c r="U250" s="91">
        <f>$J250/$R$2</f>
        <v>0</v>
      </c>
      <c r="V250" s="90">
        <f>$K250/$R$2</f>
        <v>0</v>
      </c>
      <c r="W250" s="92" t="e">
        <f>U250/V250</f>
        <v>#DIV/0!</v>
      </c>
    </row>
    <row r="251" spans="1:23" ht="15" thickBot="1" x14ac:dyDescent="0.4">
      <c r="A251" s="404"/>
      <c r="B251" s="13" t="s">
        <v>282</v>
      </c>
      <c r="C251" s="153">
        <f>COUNTIFS('Données brutes'!F:F,"But",'Données brutes'!E:E,"INES",'Données brutes'!G:G,"1 2")</f>
        <v>0</v>
      </c>
      <c r="D251" s="61">
        <f>COUNTIFS('Données brutes'!F:F,"Ar GB",'Données brutes'!E:E,"INES",'Données brutes'!G:G,"1 2")</f>
        <v>0</v>
      </c>
      <c r="E251" s="61">
        <f>COUNTIFS('Données brutes'!F:F,"HC",'Données brutes'!E:E,"INES",'Données brutes'!G:G,"1 2")</f>
        <v>0</v>
      </c>
      <c r="F251" s="90">
        <f>COUNTIFS('Données brutes'!F:F,"tir raté NC",'Données brutes'!E:E,"INES",'Données brutes'!G:G,"1 2")</f>
        <v>0</v>
      </c>
      <c r="G251" s="62"/>
      <c r="H251" s="404"/>
      <c r="I251" s="33" t="s">
        <v>282</v>
      </c>
      <c r="J251" s="91">
        <f t="shared" ref="J251:J270" si="98">$C251</f>
        <v>0</v>
      </c>
      <c r="K251" s="90">
        <f t="shared" ref="K251:K270" si="99">$C251+$D251+$E251</f>
        <v>0</v>
      </c>
      <c r="L251" s="92" t="e">
        <f t="shared" ref="L251:L270" si="100">J251/K251</f>
        <v>#DIV/0!</v>
      </c>
      <c r="M251" s="404"/>
      <c r="N251" s="319">
        <f>J250+J256</f>
        <v>0</v>
      </c>
      <c r="O251" s="319">
        <f>K250+K256</f>
        <v>0</v>
      </c>
      <c r="P251" s="322" t="e">
        <f>N251/O251</f>
        <v>#DIV/0!</v>
      </c>
      <c r="Q251" s="62"/>
      <c r="R251" s="62"/>
      <c r="S251" s="404"/>
      <c r="T251" s="33" t="s">
        <v>282</v>
      </c>
      <c r="U251" s="91">
        <f t="shared" ref="U251:U270" si="101">$J251/$R$2</f>
        <v>0</v>
      </c>
      <c r="V251" s="90">
        <f t="shared" ref="V251:V270" si="102">$K251/$R$2</f>
        <v>0</v>
      </c>
      <c r="W251" s="92" t="e">
        <f t="shared" ref="W251:W270" si="103">U251/V251</f>
        <v>#DIV/0!</v>
      </c>
    </row>
    <row r="252" spans="1:23" ht="15" thickBot="1" x14ac:dyDescent="0.4">
      <c r="A252" s="404"/>
      <c r="B252" s="13" t="s">
        <v>297</v>
      </c>
      <c r="C252" s="153">
        <f>COUNTIFS('Données brutes'!F:F,"But",'Données brutes'!E:E,"INES",'Données brutes'!G:G,"2 3")</f>
        <v>0</v>
      </c>
      <c r="D252" s="61">
        <f>COUNTIFS('Données brutes'!F:F,"Ar GB",'Données brutes'!E:E,"INES",'Données brutes'!G:G,"2 3")</f>
        <v>0</v>
      </c>
      <c r="E252" s="61">
        <f>COUNTIFS('Données brutes'!F:F,"HC",'Données brutes'!E:E,"INES",'Données brutes'!G:G,"2 3")</f>
        <v>0</v>
      </c>
      <c r="F252" s="90">
        <f>COUNTIFS('Données brutes'!F:F,"tir raté NC",'Données brutes'!E:E,"INES",'Données brutes'!G:G,"2 3")</f>
        <v>0</v>
      </c>
      <c r="G252" s="62"/>
      <c r="H252" s="404"/>
      <c r="I252" s="33" t="s">
        <v>297</v>
      </c>
      <c r="J252" s="91">
        <f t="shared" si="98"/>
        <v>0</v>
      </c>
      <c r="K252" s="90">
        <f t="shared" si="99"/>
        <v>0</v>
      </c>
      <c r="L252" s="92" t="e">
        <f t="shared" si="100"/>
        <v>#DIV/0!</v>
      </c>
      <c r="M252" s="404"/>
      <c r="N252" s="498" t="s">
        <v>395</v>
      </c>
      <c r="O252" s="498"/>
      <c r="P252" s="499"/>
      <c r="Q252" s="62"/>
      <c r="R252" s="62"/>
      <c r="S252" s="404"/>
      <c r="T252" s="33" t="s">
        <v>297</v>
      </c>
      <c r="U252" s="91">
        <f t="shared" si="101"/>
        <v>0</v>
      </c>
      <c r="V252" s="90">
        <f t="shared" si="102"/>
        <v>0</v>
      </c>
      <c r="W252" s="92" t="e">
        <f t="shared" si="103"/>
        <v>#DIV/0!</v>
      </c>
    </row>
    <row r="253" spans="1:23" ht="15" thickBot="1" x14ac:dyDescent="0.4">
      <c r="A253" s="404"/>
      <c r="B253" s="13" t="s">
        <v>296</v>
      </c>
      <c r="C253" s="153">
        <f>COUNTIFS('Données brutes'!F:F,"But",'Données brutes'!E:E,"INES",'Données brutes'!G:G,"3 4")</f>
        <v>0</v>
      </c>
      <c r="D253" s="61">
        <f>COUNTIFS('Données brutes'!F:F,"Ar GB",'Données brutes'!E:E,"INES",'Données brutes'!G:G,"3 4")</f>
        <v>0</v>
      </c>
      <c r="E253" s="61">
        <f>COUNTIFS('Données brutes'!F:F,"HC",'Données brutes'!E:E,"INES",'Données brutes'!G:G,"3 4")</f>
        <v>0</v>
      </c>
      <c r="F253" s="90">
        <f>COUNTIFS('Données brutes'!F:F,"tir raté NC",'Données brutes'!E:E,"INES",'Données brutes'!G:G,"3 4")</f>
        <v>0</v>
      </c>
      <c r="G253" s="62"/>
      <c r="H253" s="404"/>
      <c r="I253" s="33" t="s">
        <v>296</v>
      </c>
      <c r="J253" s="91">
        <f t="shared" si="98"/>
        <v>0</v>
      </c>
      <c r="K253" s="90">
        <f t="shared" si="99"/>
        <v>0</v>
      </c>
      <c r="L253" s="92" t="e">
        <f t="shared" si="100"/>
        <v>#DIV/0!</v>
      </c>
      <c r="M253" s="404"/>
      <c r="N253" s="319">
        <f>J251+J255</f>
        <v>0</v>
      </c>
      <c r="O253" s="319">
        <f>K251+K255</f>
        <v>0</v>
      </c>
      <c r="P253" s="322" t="e">
        <f>N253/O253</f>
        <v>#DIV/0!</v>
      </c>
      <c r="Q253" s="62"/>
      <c r="R253" s="62"/>
      <c r="S253" s="404"/>
      <c r="T253" s="33" t="s">
        <v>296</v>
      </c>
      <c r="U253" s="91">
        <f t="shared" si="101"/>
        <v>0</v>
      </c>
      <c r="V253" s="90">
        <f t="shared" si="102"/>
        <v>0</v>
      </c>
      <c r="W253" s="92" t="e">
        <f t="shared" si="103"/>
        <v>#DIV/0!</v>
      </c>
    </row>
    <row r="254" spans="1:23" ht="15" thickBot="1" x14ac:dyDescent="0.4">
      <c r="A254" s="404"/>
      <c r="B254" s="13" t="s">
        <v>298</v>
      </c>
      <c r="C254" s="153">
        <f>COUNTIFS('Données brutes'!F:F,"But",'Données brutes'!E:E,"INES",'Données brutes'!G:G,"4 5")</f>
        <v>0</v>
      </c>
      <c r="D254" s="61">
        <f>COUNTIFS('Données brutes'!F:F,"Ar GB",'Données brutes'!E:E,"INES",'Données brutes'!G:G,"4 5")</f>
        <v>0</v>
      </c>
      <c r="E254" s="61">
        <f>COUNTIFS('Données brutes'!F:F,"HC",'Données brutes'!E:E,"INES",'Données brutes'!G:G,"4 5")</f>
        <v>0</v>
      </c>
      <c r="F254" s="90">
        <f>COUNTIFS('Données brutes'!F:F,"tir raté NC",'Données brutes'!E:E,"INES",'Données brutes'!G:G,"4 5")</f>
        <v>0</v>
      </c>
      <c r="G254" s="62"/>
      <c r="H254" s="404"/>
      <c r="I254" s="33" t="s">
        <v>298</v>
      </c>
      <c r="J254" s="91">
        <f t="shared" si="98"/>
        <v>0</v>
      </c>
      <c r="K254" s="90">
        <f t="shared" si="99"/>
        <v>0</v>
      </c>
      <c r="L254" s="92" t="e">
        <f t="shared" si="100"/>
        <v>#DIV/0!</v>
      </c>
      <c r="M254" s="404"/>
      <c r="N254" s="498" t="s">
        <v>396</v>
      </c>
      <c r="O254" s="498"/>
      <c r="P254" s="499"/>
      <c r="Q254" s="62"/>
      <c r="R254" s="62"/>
      <c r="S254" s="404"/>
      <c r="T254" s="33" t="s">
        <v>298</v>
      </c>
      <c r="U254" s="91">
        <f t="shared" si="101"/>
        <v>0</v>
      </c>
      <c r="V254" s="90">
        <f t="shared" si="102"/>
        <v>0</v>
      </c>
      <c r="W254" s="92" t="e">
        <f t="shared" si="103"/>
        <v>#DIV/0!</v>
      </c>
    </row>
    <row r="255" spans="1:23" ht="15" thickBot="1" x14ac:dyDescent="0.4">
      <c r="A255" s="404"/>
      <c r="B255" s="13" t="s">
        <v>283</v>
      </c>
      <c r="C255" s="153">
        <f>COUNTIFS('Données brutes'!F:F,"But",'Données brutes'!E:E,"INES",'Données brutes'!G:G,"5 6")</f>
        <v>0</v>
      </c>
      <c r="D255" s="61">
        <f>COUNTIFS('Données brutes'!F:F,"Ar GB",'Données brutes'!E:E,"INES",'Données brutes'!G:G,"5 6")</f>
        <v>0</v>
      </c>
      <c r="E255" s="61">
        <f>COUNTIFS('Données brutes'!F:F,"HC",'Données brutes'!E:E,"INES",'Données brutes'!G:G,"5 6")</f>
        <v>0</v>
      </c>
      <c r="F255" s="90">
        <f>COUNTIFS('Données brutes'!F:F,"tir raté NC",'Données brutes'!E:E,"INES",'Données brutes'!G:G,"5 6")</f>
        <v>0</v>
      </c>
      <c r="G255" s="62"/>
      <c r="H255" s="404"/>
      <c r="I255" s="33" t="s">
        <v>283</v>
      </c>
      <c r="J255" s="91">
        <f t="shared" si="98"/>
        <v>0</v>
      </c>
      <c r="K255" s="90">
        <f t="shared" si="99"/>
        <v>0</v>
      </c>
      <c r="L255" s="92" t="e">
        <f t="shared" si="100"/>
        <v>#DIV/0!</v>
      </c>
      <c r="M255" s="404"/>
      <c r="N255" s="319">
        <f>J252+J253+J254</f>
        <v>0</v>
      </c>
      <c r="O255" s="319">
        <f>K252+K253+K254</f>
        <v>0</v>
      </c>
      <c r="P255" s="322" t="e">
        <f>N255/O255</f>
        <v>#DIV/0!</v>
      </c>
      <c r="Q255" s="62"/>
      <c r="R255" s="62"/>
      <c r="S255" s="404"/>
      <c r="T255" s="33" t="s">
        <v>283</v>
      </c>
      <c r="U255" s="91">
        <f t="shared" si="101"/>
        <v>0</v>
      </c>
      <c r="V255" s="90">
        <f t="shared" si="102"/>
        <v>0</v>
      </c>
      <c r="W255" s="92" t="e">
        <f t="shared" si="103"/>
        <v>#DIV/0!</v>
      </c>
    </row>
    <row r="256" spans="1:23" ht="15" thickBot="1" x14ac:dyDescent="0.4">
      <c r="A256" s="490"/>
      <c r="B256" s="36" t="s">
        <v>17</v>
      </c>
      <c r="C256" s="154">
        <f>COUNTIFS('Données brutes'!F:F,"But",'Données brutes'!E:E,"INES",'Données brutes'!G:G,"ALD")</f>
        <v>0</v>
      </c>
      <c r="D256" s="155">
        <f>COUNTIFS('Données brutes'!F:F,"Ar GB",'Données brutes'!E:E,"INES",'Données brutes'!G:G,"ALD")</f>
        <v>0</v>
      </c>
      <c r="E256" s="155">
        <f>COUNTIFS('Données brutes'!F:F,"HC",'Données brutes'!E:E,"INES",'Données brutes'!G:G,"ALD")</f>
        <v>0</v>
      </c>
      <c r="F256" s="90">
        <f>COUNTIFS('Données brutes'!F:F,"tir raté NC",'Données brutes'!E:E,"INES",'Données brutes'!G:G,"ALD")</f>
        <v>0</v>
      </c>
      <c r="G256" s="122"/>
      <c r="H256" s="490"/>
      <c r="I256" s="73" t="s">
        <v>17</v>
      </c>
      <c r="J256" s="91">
        <f t="shared" si="98"/>
        <v>0</v>
      </c>
      <c r="K256" s="90">
        <f t="shared" si="99"/>
        <v>0</v>
      </c>
      <c r="L256" s="92" t="e">
        <f t="shared" si="100"/>
        <v>#DIV/0!</v>
      </c>
      <c r="M256" s="404"/>
      <c r="N256" s="325"/>
      <c r="O256" s="325"/>
      <c r="P256" s="326"/>
      <c r="Q256" s="62"/>
      <c r="R256" s="62"/>
      <c r="S256" s="490"/>
      <c r="T256" s="73" t="s">
        <v>17</v>
      </c>
      <c r="U256" s="91">
        <f t="shared" si="101"/>
        <v>0</v>
      </c>
      <c r="V256" s="90">
        <f t="shared" si="102"/>
        <v>0</v>
      </c>
      <c r="W256" s="92" t="e">
        <f t="shared" si="103"/>
        <v>#DIV/0!</v>
      </c>
    </row>
    <row r="257" spans="1:23" ht="15" customHeight="1" thickBot="1" x14ac:dyDescent="0.4">
      <c r="A257" s="491" t="s">
        <v>299</v>
      </c>
      <c r="B257" s="87" t="s">
        <v>301</v>
      </c>
      <c r="C257" s="152">
        <f>COUNTIFS('Données brutes'!F:F,"But",'Données brutes'!E:E,"INES",'Données brutes'!G:G,"Central 7m 9m appui")</f>
        <v>0</v>
      </c>
      <c r="D257" s="90">
        <f>COUNTIFS('Données brutes'!F:F,"Ar GB",'Données brutes'!E:E,"INES",'Données brutes'!G:G,"Central 7m 9m appui")</f>
        <v>0</v>
      </c>
      <c r="E257" s="90">
        <f>COUNTIFS('Données brutes'!F:F,"HC",'Données brutes'!E:E,"INES",'Données brutes'!G:G,"Central 7m 9m appui")</f>
        <v>0</v>
      </c>
      <c r="F257" s="90">
        <f>COUNTIFS('Données brutes'!F:F,"tir raté NC",'Données brutes'!E:E,"INES",'Données brutes'!G:G,"ALD")</f>
        <v>0</v>
      </c>
      <c r="G257" s="121"/>
      <c r="H257" s="491" t="s">
        <v>299</v>
      </c>
      <c r="I257" s="32" t="s">
        <v>301</v>
      </c>
      <c r="J257" s="91">
        <f t="shared" si="98"/>
        <v>0</v>
      </c>
      <c r="K257" s="90">
        <f t="shared" si="99"/>
        <v>0</v>
      </c>
      <c r="L257" s="92" t="e">
        <f t="shared" si="100"/>
        <v>#DIV/0!</v>
      </c>
      <c r="M257" s="495" t="s">
        <v>299</v>
      </c>
      <c r="N257" s="319">
        <f>SUM(J257:J259)</f>
        <v>0</v>
      </c>
      <c r="O257" s="319">
        <f>SUM(K257:K259)</f>
        <v>0</v>
      </c>
      <c r="P257" s="322" t="e">
        <f>N257/O257</f>
        <v>#DIV/0!</v>
      </c>
      <c r="Q257" s="62"/>
      <c r="R257" s="62"/>
      <c r="S257" s="491" t="s">
        <v>299</v>
      </c>
      <c r="T257" s="32" t="s">
        <v>301</v>
      </c>
      <c r="U257" s="91">
        <f t="shared" si="101"/>
        <v>0</v>
      </c>
      <c r="V257" s="90">
        <f t="shared" si="102"/>
        <v>0</v>
      </c>
      <c r="W257" s="92" t="e">
        <f t="shared" si="103"/>
        <v>#DIV/0!</v>
      </c>
    </row>
    <row r="258" spans="1:23" ht="15" thickBot="1" x14ac:dyDescent="0.4">
      <c r="A258" s="495"/>
      <c r="B258" s="13" t="s">
        <v>302</v>
      </c>
      <c r="C258" s="153">
        <f>COUNTIFS('Données brutes'!F:F,"But",'Données brutes'!E:E,"INES",'Données brutes'!G:G,"7m 9m Ext G appui")</f>
        <v>0</v>
      </c>
      <c r="D258" s="61">
        <f>COUNTIFS('Données brutes'!F:F,"Ar GB",'Données brutes'!E:E,"INES",'Données brutes'!G:G,"7m 9m Ext G appui")</f>
        <v>0</v>
      </c>
      <c r="E258" s="61">
        <f>COUNTIFS('Données brutes'!F:F,"HC",'Données brutes'!E:E,"INES",'Données brutes'!G:G,"7m 9m Ext G appui")</f>
        <v>0</v>
      </c>
      <c r="F258" s="90">
        <f>COUNTIFS('Données brutes'!F:F,"tir raté NC",'Données brutes'!E:E,"INES",'Données brutes'!G:G,"7m 9m Ext G appui")</f>
        <v>0</v>
      </c>
      <c r="G258" s="62"/>
      <c r="H258" s="495"/>
      <c r="I258" s="33" t="s">
        <v>302</v>
      </c>
      <c r="J258" s="91">
        <f t="shared" si="98"/>
        <v>0</v>
      </c>
      <c r="K258" s="90">
        <f t="shared" si="99"/>
        <v>0</v>
      </c>
      <c r="L258" s="92" t="e">
        <f t="shared" si="100"/>
        <v>#DIV/0!</v>
      </c>
      <c r="M258" s="495"/>
      <c r="N258" s="325"/>
      <c r="O258" s="325"/>
      <c r="P258" s="326"/>
      <c r="Q258" s="62"/>
      <c r="R258" s="62"/>
      <c r="S258" s="495"/>
      <c r="T258" s="33" t="s">
        <v>302</v>
      </c>
      <c r="U258" s="91">
        <f t="shared" si="101"/>
        <v>0</v>
      </c>
      <c r="V258" s="90">
        <f t="shared" si="102"/>
        <v>0</v>
      </c>
      <c r="W258" s="92" t="e">
        <f t="shared" si="103"/>
        <v>#DIV/0!</v>
      </c>
    </row>
    <row r="259" spans="1:23" ht="15" thickBot="1" x14ac:dyDescent="0.4">
      <c r="A259" s="492"/>
      <c r="B259" s="36" t="s">
        <v>303</v>
      </c>
      <c r="C259" s="154">
        <f>COUNTIFS('Données brutes'!F:F,"But",'Données brutes'!E:E,"INES",'Données brutes'!G:G,"7m 9m Ext D appui")</f>
        <v>0</v>
      </c>
      <c r="D259" s="155">
        <f>COUNTIFS('Données brutes'!F:F,"Ar GB",'Données brutes'!E:E,"INES",'Données brutes'!G:G,"7m 9m Ext D appui")</f>
        <v>0</v>
      </c>
      <c r="E259" s="155">
        <f>COUNTIFS('Données brutes'!F:F,"HC",'Données brutes'!E:E,"INES",'Données brutes'!G:G,"7m 9m Ext D appui")</f>
        <v>0</v>
      </c>
      <c r="F259" s="90">
        <f>COUNTIFS('Données brutes'!F:F,"tir raté NC",'Données brutes'!E:E,"INES",'Données brutes'!G:G,"ALD")</f>
        <v>0</v>
      </c>
      <c r="G259" s="122"/>
      <c r="H259" s="492"/>
      <c r="I259" s="73" t="s">
        <v>303</v>
      </c>
      <c r="J259" s="91">
        <f t="shared" si="98"/>
        <v>0</v>
      </c>
      <c r="K259" s="90">
        <f t="shared" si="99"/>
        <v>0</v>
      </c>
      <c r="L259" s="92" t="e">
        <f t="shared" si="100"/>
        <v>#DIV/0!</v>
      </c>
      <c r="M259" s="495"/>
      <c r="N259" s="325"/>
      <c r="O259" s="325"/>
      <c r="P259" s="326"/>
      <c r="Q259" s="62"/>
      <c r="R259" s="62"/>
      <c r="S259" s="492"/>
      <c r="T259" s="73" t="s">
        <v>303</v>
      </c>
      <c r="U259" s="91">
        <f t="shared" si="101"/>
        <v>0</v>
      </c>
      <c r="V259" s="90">
        <f t="shared" si="102"/>
        <v>0</v>
      </c>
      <c r="W259" s="92" t="e">
        <f t="shared" si="103"/>
        <v>#DIV/0!</v>
      </c>
    </row>
    <row r="260" spans="1:23" ht="15" customHeight="1" thickBot="1" x14ac:dyDescent="0.4">
      <c r="A260" s="493" t="s">
        <v>300</v>
      </c>
      <c r="B260" s="87" t="s">
        <v>304</v>
      </c>
      <c r="C260" s="152">
        <f>COUNTIFS('Données brutes'!F:F,"But",'Données brutes'!E:E,"INES",'Données brutes'!G:G,"7m 9m central suspension")</f>
        <v>0</v>
      </c>
      <c r="D260" s="90">
        <f>COUNTIFS('Données brutes'!F:F,"Ar GB",'Données brutes'!E:E,"INES",'Données brutes'!G:G,"7m 9m central suspension")</f>
        <v>0</v>
      </c>
      <c r="E260" s="90">
        <f>COUNTIFS('Données brutes'!F:F,"HC",'Données brutes'!E:E,"INES",'Données brutes'!G:G,"7m 9m central suspension")</f>
        <v>0</v>
      </c>
      <c r="F260" s="90">
        <f>COUNTIFS('Données brutes'!F:F,"tir raté NC",'Données brutes'!E:E,"INES",'Données brutes'!G:G,"ALD")</f>
        <v>0</v>
      </c>
      <c r="G260" s="121"/>
      <c r="H260" s="493" t="s">
        <v>300</v>
      </c>
      <c r="I260" s="32" t="s">
        <v>304</v>
      </c>
      <c r="J260" s="91">
        <f t="shared" si="98"/>
        <v>0</v>
      </c>
      <c r="K260" s="90">
        <f t="shared" si="99"/>
        <v>0</v>
      </c>
      <c r="L260" s="92" t="e">
        <f t="shared" si="100"/>
        <v>#DIV/0!</v>
      </c>
      <c r="M260" s="495" t="s">
        <v>300</v>
      </c>
      <c r="N260" s="319">
        <f>SUM(J260:J262)</f>
        <v>0</v>
      </c>
      <c r="O260" s="319">
        <f>SUM(K260:K262)</f>
        <v>0</v>
      </c>
      <c r="P260" s="322" t="e">
        <f>N260/O260</f>
        <v>#DIV/0!</v>
      </c>
      <c r="Q260" s="62"/>
      <c r="R260" s="62"/>
      <c r="S260" s="493" t="s">
        <v>300</v>
      </c>
      <c r="T260" s="32" t="s">
        <v>304</v>
      </c>
      <c r="U260" s="91">
        <f t="shared" si="101"/>
        <v>0</v>
      </c>
      <c r="V260" s="90">
        <f t="shared" si="102"/>
        <v>0</v>
      </c>
      <c r="W260" s="92" t="e">
        <f t="shared" si="103"/>
        <v>#DIV/0!</v>
      </c>
    </row>
    <row r="261" spans="1:23" ht="15" thickBot="1" x14ac:dyDescent="0.4">
      <c r="A261" s="506"/>
      <c r="B261" s="13" t="s">
        <v>305</v>
      </c>
      <c r="C261" s="153">
        <f>COUNTIFS('Données brutes'!F:F,"But",'Données brutes'!E:E,"INES",'Données brutes'!G:G,"7m 9m Ext G suspension")</f>
        <v>0</v>
      </c>
      <c r="D261" s="61">
        <f>COUNTIFS('Données brutes'!F:F,"Ar GB",'Données brutes'!E:E,"INES",'Données brutes'!G:G,"7m 9m Ext G suspension")</f>
        <v>0</v>
      </c>
      <c r="E261" s="61">
        <f>COUNTIFS('Données brutes'!F:F,"HC",'Données brutes'!E:E,"INES",'Données brutes'!G:G,"7m 9m Ext G suspension")</f>
        <v>0</v>
      </c>
      <c r="F261" s="90">
        <f>COUNTIFS('Données brutes'!F:F,"tir raté NC",'Données brutes'!E:E,"INES",'Données brutes'!G:G,"ALD")</f>
        <v>0</v>
      </c>
      <c r="G261" s="62"/>
      <c r="H261" s="506"/>
      <c r="I261" s="33" t="s">
        <v>305</v>
      </c>
      <c r="J261" s="91">
        <f t="shared" si="98"/>
        <v>0</v>
      </c>
      <c r="K261" s="90">
        <f t="shared" si="99"/>
        <v>0</v>
      </c>
      <c r="L261" s="92" t="e">
        <f t="shared" si="100"/>
        <v>#DIV/0!</v>
      </c>
      <c r="M261" s="495"/>
      <c r="N261" s="325"/>
      <c r="O261" s="325"/>
      <c r="P261" s="326"/>
      <c r="Q261" s="62"/>
      <c r="R261" s="62"/>
      <c r="S261" s="506"/>
      <c r="T261" s="33" t="s">
        <v>305</v>
      </c>
      <c r="U261" s="91">
        <f t="shared" si="101"/>
        <v>0</v>
      </c>
      <c r="V261" s="90">
        <f t="shared" si="102"/>
        <v>0</v>
      </c>
      <c r="W261" s="92" t="e">
        <f t="shared" si="103"/>
        <v>#DIV/0!</v>
      </c>
    </row>
    <row r="262" spans="1:23" ht="15" thickBot="1" x14ac:dyDescent="0.4">
      <c r="A262" s="494"/>
      <c r="B262" s="36" t="s">
        <v>306</v>
      </c>
      <c r="C262" s="153">
        <f>COUNTIFS('Données brutes'!F:F,"But",'Données brutes'!E:E,"INES",'Données brutes'!G:G,"7m 9m Ext D suspension")</f>
        <v>0</v>
      </c>
      <c r="D262" s="61">
        <f>COUNTIFS('Données brutes'!F:F,"Ar GB",'Données brutes'!E:E,"INES",'Données brutes'!G:G,"7m 9m Ext D suspension")</f>
        <v>0</v>
      </c>
      <c r="E262" s="61">
        <f>COUNTIFS('Données brutes'!F:F,"HC",'Données brutes'!E:E,"INES",'Données brutes'!G:G,"7m 9m Ext D suspension")</f>
        <v>0</v>
      </c>
      <c r="F262" s="90">
        <f>COUNTIFS('Données brutes'!F:F,"tir raté NC",'Données brutes'!E:E,"INES",'Données brutes'!G:G,"7m 9m Ext D suspension")</f>
        <v>0</v>
      </c>
      <c r="G262" s="122"/>
      <c r="H262" s="494"/>
      <c r="I262" s="73" t="s">
        <v>306</v>
      </c>
      <c r="J262" s="91">
        <f t="shared" si="98"/>
        <v>0</v>
      </c>
      <c r="K262" s="90">
        <f t="shared" si="99"/>
        <v>0</v>
      </c>
      <c r="L262" s="92" t="e">
        <f t="shared" si="100"/>
        <v>#DIV/0!</v>
      </c>
      <c r="M262" s="495"/>
      <c r="N262" s="325"/>
      <c r="O262" s="325"/>
      <c r="P262" s="326"/>
      <c r="Q262" s="62"/>
      <c r="R262" s="62"/>
      <c r="S262" s="494"/>
      <c r="T262" s="73" t="s">
        <v>306</v>
      </c>
      <c r="U262" s="91">
        <f t="shared" si="101"/>
        <v>0</v>
      </c>
      <c r="V262" s="90">
        <f t="shared" si="102"/>
        <v>0</v>
      </c>
      <c r="W262" s="92" t="e">
        <f t="shared" si="103"/>
        <v>#DIV/0!</v>
      </c>
    </row>
    <row r="263" spans="1:23" ht="15" thickBot="1" x14ac:dyDescent="0.4">
      <c r="A263" s="407" t="s">
        <v>146</v>
      </c>
      <c r="B263" s="87" t="s">
        <v>307</v>
      </c>
      <c r="C263" s="152">
        <f>COUNTIFS('Données brutes'!F:F,"But",'Données brutes'!E:E,"INES",'Données brutes'!G:G,"9m G")</f>
        <v>0</v>
      </c>
      <c r="D263" s="90">
        <f>COUNTIFS('Données brutes'!F:F,"Ar GB",'Données brutes'!E:E,"INES",'Données brutes'!G:G,"9m G")</f>
        <v>0</v>
      </c>
      <c r="E263" s="90">
        <f>COUNTIFS('Données brutes'!F:F,"HC",'Données brutes'!E:E,"INES",'Données brutes'!G:G,"9m G")</f>
        <v>0</v>
      </c>
      <c r="F263" s="90">
        <f>COUNTIFS('Données brutes'!F:F,"tir raté NC",'Données brutes'!E:E,"INES",'Données brutes'!G:G,"9m G")</f>
        <v>0</v>
      </c>
      <c r="G263" s="121"/>
      <c r="H263" s="407" t="s">
        <v>146</v>
      </c>
      <c r="I263" s="32" t="s">
        <v>307</v>
      </c>
      <c r="J263" s="91">
        <f t="shared" si="98"/>
        <v>0</v>
      </c>
      <c r="K263" s="90">
        <f t="shared" si="99"/>
        <v>0</v>
      </c>
      <c r="L263" s="92" t="e">
        <f t="shared" si="100"/>
        <v>#DIV/0!</v>
      </c>
      <c r="M263" s="404" t="s">
        <v>146</v>
      </c>
      <c r="N263" s="319">
        <f>SUM(J263:J265)</f>
        <v>0</v>
      </c>
      <c r="O263" s="319">
        <f>SUM(K263:K265)</f>
        <v>0</v>
      </c>
      <c r="P263" s="322" t="e">
        <f>N263/O263</f>
        <v>#DIV/0!</v>
      </c>
      <c r="Q263" s="62"/>
      <c r="R263" s="62"/>
      <c r="S263" s="407" t="s">
        <v>146</v>
      </c>
      <c r="T263" s="32" t="s">
        <v>307</v>
      </c>
      <c r="U263" s="91">
        <f t="shared" si="101"/>
        <v>0</v>
      </c>
      <c r="V263" s="90">
        <f t="shared" si="102"/>
        <v>0</v>
      </c>
      <c r="W263" s="92" t="e">
        <f t="shared" si="103"/>
        <v>#DIV/0!</v>
      </c>
    </row>
    <row r="264" spans="1:23" ht="15" thickBot="1" x14ac:dyDescent="0.4">
      <c r="A264" s="404"/>
      <c r="B264" s="13" t="s">
        <v>308</v>
      </c>
      <c r="C264" s="152">
        <f>COUNTIFS('Données brutes'!F:F,"But",'Données brutes'!E:E,"INES",'Données brutes'!G:G,"9m +")</f>
        <v>0</v>
      </c>
      <c r="D264" s="90">
        <f>COUNTIFS('Données brutes'!F:F,"Ar GB",'Données brutes'!E:E,"INES",'Données brutes'!G:G,"9m +")</f>
        <v>0</v>
      </c>
      <c r="E264" s="90">
        <f>COUNTIFS('Données brutes'!F:F,"HC",'Données brutes'!E:E,"INES",'Données brutes'!G:G,"9m +")</f>
        <v>0</v>
      </c>
      <c r="F264" s="90">
        <f>COUNTIFS('Données brutes'!F:F,"tir raté NC",'Données brutes'!E:E,"INES",'Données brutes'!G:G,"9m +")</f>
        <v>0</v>
      </c>
      <c r="G264" s="62"/>
      <c r="H264" s="404"/>
      <c r="I264" s="33" t="s">
        <v>308</v>
      </c>
      <c r="J264" s="91">
        <f t="shared" si="98"/>
        <v>0</v>
      </c>
      <c r="K264" s="90">
        <f t="shared" si="99"/>
        <v>0</v>
      </c>
      <c r="L264" s="92" t="e">
        <f t="shared" si="100"/>
        <v>#DIV/0!</v>
      </c>
      <c r="M264" s="404"/>
      <c r="N264" s="325"/>
      <c r="O264" s="325"/>
      <c r="P264" s="326"/>
      <c r="Q264" s="62"/>
      <c r="R264" s="62"/>
      <c r="S264" s="404"/>
      <c r="T264" s="33" t="s">
        <v>308</v>
      </c>
      <c r="U264" s="91">
        <f t="shared" si="101"/>
        <v>0</v>
      </c>
      <c r="V264" s="90">
        <f t="shared" si="102"/>
        <v>0</v>
      </c>
      <c r="W264" s="92" t="e">
        <f t="shared" si="103"/>
        <v>#DIV/0!</v>
      </c>
    </row>
    <row r="265" spans="1:23" ht="15" thickBot="1" x14ac:dyDescent="0.4">
      <c r="A265" s="490"/>
      <c r="B265" s="36" t="s">
        <v>309</v>
      </c>
      <c r="C265" s="152">
        <f>COUNTIFS('Données brutes'!F:F,"But",'Données brutes'!E:E,"INES",'Données brutes'!G:G,"9m D")</f>
        <v>0</v>
      </c>
      <c r="D265" s="90">
        <f>COUNTIFS('Données brutes'!F:F,"Ar GB",'Données brutes'!E:E,"INES",'Données brutes'!G:G,"9m D")</f>
        <v>0</v>
      </c>
      <c r="E265" s="90">
        <f>COUNTIFS('Données brutes'!F:F,"HC",'Données brutes'!E:E,"INES",'Données brutes'!G:G,"9m D")</f>
        <v>0</v>
      </c>
      <c r="F265" s="90">
        <f>COUNTIFS('Données brutes'!F:F,"tir raté NC",'Données brutes'!E:E,"INES",'Données brutes'!G:G,"9m D")</f>
        <v>0</v>
      </c>
      <c r="G265" s="122"/>
      <c r="H265" s="490"/>
      <c r="I265" s="73" t="s">
        <v>309</v>
      </c>
      <c r="J265" s="91">
        <f t="shared" si="98"/>
        <v>0</v>
      </c>
      <c r="K265" s="90">
        <f t="shared" si="99"/>
        <v>0</v>
      </c>
      <c r="L265" s="92" t="e">
        <f t="shared" si="100"/>
        <v>#DIV/0!</v>
      </c>
      <c r="M265" s="404"/>
      <c r="N265" s="325"/>
      <c r="O265" s="325"/>
      <c r="P265" s="326"/>
      <c r="Q265" s="62"/>
      <c r="R265" s="62"/>
      <c r="S265" s="490"/>
      <c r="T265" s="73" t="s">
        <v>309</v>
      </c>
      <c r="U265" s="91">
        <f t="shared" si="101"/>
        <v>0</v>
      </c>
      <c r="V265" s="90">
        <f t="shared" si="102"/>
        <v>0</v>
      </c>
      <c r="W265" s="92" t="e">
        <f t="shared" si="103"/>
        <v>#DIV/0!</v>
      </c>
    </row>
    <row r="266" spans="1:23" ht="15" customHeight="1" thickBot="1" x14ac:dyDescent="0.4">
      <c r="A266" s="493" t="s">
        <v>310</v>
      </c>
      <c r="B266" s="87" t="s">
        <v>22</v>
      </c>
      <c r="C266" s="152">
        <f>COUNTIFS('Données brutes'!F:F,"But",'Données brutes'!E:E,"INES",'Données brutes'!G:G,"But vide")</f>
        <v>0</v>
      </c>
      <c r="D266" s="90">
        <f>COUNTIFS('Données brutes'!F:F,"Ar GB",'Données brutes'!E:E,"INES",'Données brutes'!G:G,"But vide")</f>
        <v>0</v>
      </c>
      <c r="E266" s="90">
        <f>COUNTIFS('Données brutes'!F:F,"HC",'Données brutes'!E:E,"INES",'Données brutes'!G:G,"But vide")</f>
        <v>0</v>
      </c>
      <c r="F266" s="90">
        <f>COUNTIFS('Données brutes'!F:F,"tir raté NC",'Données brutes'!E:E,"INES",'Données brutes'!G:G,"But vide")</f>
        <v>0</v>
      </c>
      <c r="G266" s="121"/>
      <c r="H266" s="493" t="s">
        <v>310</v>
      </c>
      <c r="I266" s="32" t="s">
        <v>22</v>
      </c>
      <c r="J266" s="91">
        <f t="shared" si="98"/>
        <v>0</v>
      </c>
      <c r="K266" s="90">
        <f t="shared" si="99"/>
        <v>0</v>
      </c>
      <c r="L266" s="92" t="e">
        <f t="shared" si="100"/>
        <v>#DIV/0!</v>
      </c>
      <c r="M266" s="495" t="s">
        <v>310</v>
      </c>
      <c r="N266" s="319">
        <f>J266+J267</f>
        <v>0</v>
      </c>
      <c r="O266" s="319">
        <f>K266+K267</f>
        <v>0</v>
      </c>
      <c r="P266" s="322" t="e">
        <f>N266/O266</f>
        <v>#DIV/0!</v>
      </c>
      <c r="Q266" s="62"/>
      <c r="R266" s="62"/>
      <c r="S266" s="493" t="s">
        <v>310</v>
      </c>
      <c r="T266" s="32" t="s">
        <v>22</v>
      </c>
      <c r="U266" s="91">
        <f t="shared" si="101"/>
        <v>0</v>
      </c>
      <c r="V266" s="90">
        <f t="shared" si="102"/>
        <v>0</v>
      </c>
      <c r="W266" s="92" t="e">
        <f t="shared" si="103"/>
        <v>#DIV/0!</v>
      </c>
    </row>
    <row r="267" spans="1:23" ht="15" thickBot="1" x14ac:dyDescent="0.4">
      <c r="A267" s="494"/>
      <c r="B267" s="36" t="s">
        <v>12</v>
      </c>
      <c r="C267" s="152">
        <f>COUNTIFS('Données brutes'!F:F,"But",'Données brutes'!E:E,"INES",'Données brutes'!G:G,"CA MB")</f>
        <v>0</v>
      </c>
      <c r="D267" s="90">
        <f>COUNTIFS('Données brutes'!F:F,"Ar GB",'Données brutes'!E:E,"INES",'Données brutes'!G:G,"CA MB")</f>
        <v>0</v>
      </c>
      <c r="E267" s="90">
        <f>COUNTIFS('Données brutes'!F:F,"HC",'Données brutes'!E:E,"INES",'Données brutes'!G:G,"CA MB")</f>
        <v>0</v>
      </c>
      <c r="F267" s="90">
        <f>COUNTIFS('Données brutes'!F:F,"tir raté NC",'Données brutes'!E:E,"INES",'Données brutes'!G:G,"CA MB")</f>
        <v>0</v>
      </c>
      <c r="G267" s="122"/>
      <c r="H267" s="494"/>
      <c r="I267" s="73" t="s">
        <v>12</v>
      </c>
      <c r="J267" s="91">
        <f t="shared" si="98"/>
        <v>0</v>
      </c>
      <c r="K267" s="90">
        <f t="shared" si="99"/>
        <v>0</v>
      </c>
      <c r="L267" s="92" t="e">
        <f t="shared" si="100"/>
        <v>#DIV/0!</v>
      </c>
      <c r="M267" s="495"/>
      <c r="N267" s="325"/>
      <c r="O267" s="325"/>
      <c r="P267" s="326"/>
      <c r="Q267" s="62"/>
      <c r="R267" s="62"/>
      <c r="S267" s="494"/>
      <c r="T267" s="73" t="s">
        <v>12</v>
      </c>
      <c r="U267" s="91">
        <f t="shared" si="101"/>
        <v>0</v>
      </c>
      <c r="V267" s="90">
        <f t="shared" si="102"/>
        <v>0</v>
      </c>
      <c r="W267" s="92" t="e">
        <f t="shared" si="103"/>
        <v>#DIV/0!</v>
      </c>
    </row>
    <row r="268" spans="1:23" ht="15" thickBot="1" x14ac:dyDescent="0.4">
      <c r="A268" s="488" t="s">
        <v>311</v>
      </c>
      <c r="B268" s="507"/>
      <c r="C268" s="156">
        <f>SUM(C250:C267)</f>
        <v>0</v>
      </c>
      <c r="D268" s="157">
        <f t="shared" ref="D268:E268" si="104">SUM(D250:D267)</f>
        <v>0</v>
      </c>
      <c r="E268" s="157">
        <f t="shared" si="104"/>
        <v>0</v>
      </c>
      <c r="F268" s="157">
        <f>SUM(F250:F263)</f>
        <v>0</v>
      </c>
      <c r="G268" s="123"/>
      <c r="H268" s="488" t="s">
        <v>311</v>
      </c>
      <c r="I268" s="489"/>
      <c r="J268" s="91">
        <f t="shared" si="98"/>
        <v>0</v>
      </c>
      <c r="K268" s="90">
        <f t="shared" si="99"/>
        <v>0</v>
      </c>
      <c r="L268" s="92" t="e">
        <f t="shared" si="100"/>
        <v>#DIV/0!</v>
      </c>
      <c r="M268" s="324"/>
      <c r="N268" s="325"/>
      <c r="O268" s="325"/>
      <c r="P268" s="326"/>
      <c r="Q268" s="62"/>
      <c r="R268" s="62"/>
      <c r="S268" s="488" t="s">
        <v>311</v>
      </c>
      <c r="T268" s="489"/>
      <c r="U268" s="91">
        <f t="shared" si="101"/>
        <v>0</v>
      </c>
      <c r="V268" s="90">
        <f t="shared" si="102"/>
        <v>0</v>
      </c>
      <c r="W268" s="92" t="e">
        <f t="shared" si="103"/>
        <v>#DIV/0!</v>
      </c>
    </row>
    <row r="269" spans="1:23" ht="15" thickBot="1" x14ac:dyDescent="0.4">
      <c r="A269" s="94"/>
      <c r="B269" s="87" t="s">
        <v>59</v>
      </c>
      <c r="C269" s="152">
        <f>COUNTIFS('Données brutes'!F:F,"But",'Données brutes'!E:E,"INES",'Données brutes'!G:G,"Jet 7m")</f>
        <v>0</v>
      </c>
      <c r="D269" s="90">
        <f>COUNTIFS('Données brutes'!F:F,"Ar GB",'Données brutes'!E:E,"INES",'Données brutes'!G:G,"Jet 7m")</f>
        <v>0</v>
      </c>
      <c r="E269" s="90">
        <f>COUNTIFS('Données brutes'!F:F,"HC",'Données brutes'!E:E,"INES",'Données brutes'!G:G,"Jet 7m")</f>
        <v>0</v>
      </c>
      <c r="F269" s="90">
        <f>COUNTIFS('Données brutes'!F:F,"tir raté NC",'Données brutes'!E:E,"INES",'Données brutes'!G:G,"Jet 7m")</f>
        <v>0</v>
      </c>
      <c r="G269" s="508"/>
      <c r="H269" s="94"/>
      <c r="I269" s="32" t="s">
        <v>59</v>
      </c>
      <c r="J269" s="91">
        <f t="shared" si="98"/>
        <v>0</v>
      </c>
      <c r="K269" s="90">
        <f t="shared" si="99"/>
        <v>0</v>
      </c>
      <c r="L269" s="92" t="e">
        <f t="shared" si="100"/>
        <v>#DIV/0!</v>
      </c>
      <c r="M269" s="324"/>
      <c r="N269" s="325"/>
      <c r="O269" s="325"/>
      <c r="P269" s="326"/>
      <c r="Q269" s="62"/>
      <c r="R269" s="62"/>
      <c r="S269" s="94"/>
      <c r="T269" s="32" t="s">
        <v>59</v>
      </c>
      <c r="U269" s="91">
        <f t="shared" si="101"/>
        <v>0</v>
      </c>
      <c r="V269" s="90">
        <f t="shared" si="102"/>
        <v>0</v>
      </c>
      <c r="W269" s="92" t="e">
        <f t="shared" si="103"/>
        <v>#DIV/0!</v>
      </c>
    </row>
    <row r="270" spans="1:23" ht="15" thickBot="1" x14ac:dyDescent="0.4">
      <c r="A270" s="490" t="s">
        <v>312</v>
      </c>
      <c r="B270" s="510"/>
      <c r="C270" s="156">
        <f>C268+C269</f>
        <v>0</v>
      </c>
      <c r="D270" s="156">
        <f t="shared" ref="D270" si="105">D268+D269</f>
        <v>0</v>
      </c>
      <c r="E270" s="156">
        <f t="shared" ref="E270" si="106">E268+E269</f>
        <v>0</v>
      </c>
      <c r="F270" s="156">
        <f t="shared" ref="F270" si="107">F268+F269</f>
        <v>0</v>
      </c>
      <c r="G270" s="509"/>
      <c r="H270" s="490" t="s">
        <v>312</v>
      </c>
      <c r="I270" s="511"/>
      <c r="J270" s="91">
        <f t="shared" si="98"/>
        <v>0</v>
      </c>
      <c r="K270" s="90">
        <f t="shared" si="99"/>
        <v>0</v>
      </c>
      <c r="L270" s="92" t="e">
        <f t="shared" si="100"/>
        <v>#DIV/0!</v>
      </c>
      <c r="M270" s="327"/>
      <c r="N270" s="328"/>
      <c r="O270" s="328"/>
      <c r="P270" s="329"/>
      <c r="Q270" s="122"/>
      <c r="R270" s="122"/>
      <c r="S270" s="490" t="s">
        <v>312</v>
      </c>
      <c r="T270" s="511"/>
      <c r="U270" s="91">
        <f t="shared" si="101"/>
        <v>0</v>
      </c>
      <c r="V270" s="90">
        <f t="shared" si="102"/>
        <v>0</v>
      </c>
      <c r="W270" s="92" t="e">
        <f t="shared" si="103"/>
        <v>#DIV/0!</v>
      </c>
    </row>
    <row r="272" spans="1:23" ht="15" thickBot="1" x14ac:dyDescent="0.4"/>
    <row r="273" spans="1:23" ht="26.5" thickBot="1" x14ac:dyDescent="0.4">
      <c r="A273" s="514" t="s">
        <v>372</v>
      </c>
      <c r="B273" s="515"/>
      <c r="C273" s="515"/>
      <c r="D273" s="515"/>
      <c r="E273" s="515"/>
      <c r="F273" s="515"/>
      <c r="G273" s="121"/>
      <c r="H273" s="425" t="s">
        <v>333</v>
      </c>
      <c r="I273" s="425"/>
      <c r="J273" s="425"/>
      <c r="K273" s="425"/>
      <c r="L273" s="425"/>
      <c r="M273" s="309"/>
      <c r="N273" s="309"/>
      <c r="O273" s="309"/>
      <c r="P273" s="309"/>
      <c r="Q273" s="121"/>
      <c r="R273" s="124" t="s">
        <v>335</v>
      </c>
      <c r="S273" s="425" t="s">
        <v>334</v>
      </c>
      <c r="T273" s="425"/>
      <c r="U273" s="425"/>
      <c r="V273" s="425"/>
      <c r="W273" s="426"/>
    </row>
    <row r="274" spans="1:23" ht="29.5" thickBot="1" x14ac:dyDescent="0.4">
      <c r="A274" s="403" t="s">
        <v>5</v>
      </c>
      <c r="B274" s="512"/>
      <c r="C274" s="118" t="s">
        <v>33</v>
      </c>
      <c r="D274" s="118" t="s">
        <v>20</v>
      </c>
      <c r="E274" s="118" t="s">
        <v>10</v>
      </c>
      <c r="F274" s="118" t="s">
        <v>277</v>
      </c>
      <c r="G274" s="62"/>
      <c r="H274" s="513" t="s">
        <v>5</v>
      </c>
      <c r="I274" s="421"/>
      <c r="J274" s="93" t="s">
        <v>33</v>
      </c>
      <c r="K274" s="119" t="s">
        <v>326</v>
      </c>
      <c r="L274" s="120" t="s">
        <v>150</v>
      </c>
      <c r="M274" s="310"/>
      <c r="N274" s="320" t="s">
        <v>33</v>
      </c>
      <c r="O274" s="320" t="s">
        <v>326</v>
      </c>
      <c r="P274" s="321" t="s">
        <v>150</v>
      </c>
      <c r="Q274" s="62"/>
      <c r="R274" s="125">
        <f>'Matchs joués'!B15</f>
        <v>3</v>
      </c>
      <c r="S274" s="513" t="s">
        <v>5</v>
      </c>
      <c r="T274" s="421"/>
      <c r="U274" s="93" t="s">
        <v>33</v>
      </c>
      <c r="V274" s="119" t="s">
        <v>326</v>
      </c>
      <c r="W274" s="120" t="s">
        <v>150</v>
      </c>
    </row>
    <row r="275" spans="1:23" ht="15" thickBot="1" x14ac:dyDescent="0.4">
      <c r="A275" s="407" t="s">
        <v>295</v>
      </c>
      <c r="B275" s="87" t="s">
        <v>15</v>
      </c>
      <c r="C275" s="152">
        <f>COUNTIFS('Données brutes'!F:F,"But",'Données brutes'!E:E,"MAELYS",'Données brutes'!G:G,"ALG")</f>
        <v>0</v>
      </c>
      <c r="D275" s="90">
        <f>COUNTIFS('Données brutes'!F:F,"Ar GB",'Données brutes'!E:E,"MAELYS",'Données brutes'!G:G,"ALG")</f>
        <v>0</v>
      </c>
      <c r="E275" s="90">
        <f>COUNTIFS('Données brutes'!F:F,"HC",'Données brutes'!E:E,"MAELYS",'Données brutes'!G:G,"ALG")</f>
        <v>0</v>
      </c>
      <c r="F275" s="90">
        <f>COUNTIFS('Données brutes'!F:F,"tir raté NC",'Données brutes'!E:E,"MAELYS",'Données brutes'!G:G,"ALG")</f>
        <v>0</v>
      </c>
      <c r="G275" s="121"/>
      <c r="H275" s="407" t="s">
        <v>295</v>
      </c>
      <c r="I275" s="32" t="s">
        <v>15</v>
      </c>
      <c r="J275" s="91">
        <f>$C275</f>
        <v>0</v>
      </c>
      <c r="K275" s="90">
        <f>$C275+$D275+$E275</f>
        <v>0</v>
      </c>
      <c r="L275" s="92" t="e">
        <f>J275/K275</f>
        <v>#DIV/0!</v>
      </c>
      <c r="M275" s="404" t="s">
        <v>295</v>
      </c>
      <c r="N275" s="496" t="s">
        <v>394</v>
      </c>
      <c r="O275" s="496"/>
      <c r="P275" s="497"/>
      <c r="Q275" s="62"/>
      <c r="R275" s="62"/>
      <c r="S275" s="407" t="s">
        <v>295</v>
      </c>
      <c r="T275" s="32" t="s">
        <v>15</v>
      </c>
      <c r="U275" s="91">
        <f>$J275/$R$2</f>
        <v>0</v>
      </c>
      <c r="V275" s="90">
        <f>$K275/$R$2</f>
        <v>0</v>
      </c>
      <c r="W275" s="92" t="e">
        <f>U275/V275</f>
        <v>#DIV/0!</v>
      </c>
    </row>
    <row r="276" spans="1:23" ht="15" thickBot="1" x14ac:dyDescent="0.4">
      <c r="A276" s="404"/>
      <c r="B276" s="13" t="s">
        <v>282</v>
      </c>
      <c r="C276" s="153">
        <f>COUNTIFS('Données brutes'!F:F,"But",'Données brutes'!E:E,"MAELYS",'Données brutes'!G:G,"1 2")</f>
        <v>0</v>
      </c>
      <c r="D276" s="61">
        <f>COUNTIFS('Données brutes'!F:F,"Ar GB",'Données brutes'!E:E,"MAELYS",'Données brutes'!G:G,"1 2")</f>
        <v>0</v>
      </c>
      <c r="E276" s="61">
        <f>COUNTIFS('Données brutes'!F:F,"HC",'Données brutes'!E:E,"MAELYS",'Données brutes'!G:G,"1 2")</f>
        <v>0</v>
      </c>
      <c r="F276" s="90">
        <f>COUNTIFS('Données brutes'!F:F,"tir raté NC",'Données brutes'!E:E,"MAELYS",'Données brutes'!G:G,"1 2")</f>
        <v>0</v>
      </c>
      <c r="G276" s="62"/>
      <c r="H276" s="404"/>
      <c r="I276" s="33" t="s">
        <v>282</v>
      </c>
      <c r="J276" s="91">
        <f t="shared" ref="J276:J295" si="108">$C276</f>
        <v>0</v>
      </c>
      <c r="K276" s="90">
        <f t="shared" ref="K276:K295" si="109">$C276+$D276+$E276</f>
        <v>0</v>
      </c>
      <c r="L276" s="92" t="e">
        <f t="shared" ref="L276:L295" si="110">J276/K276</f>
        <v>#DIV/0!</v>
      </c>
      <c r="M276" s="404"/>
      <c r="N276" s="319">
        <f>J275+J281</f>
        <v>0</v>
      </c>
      <c r="O276" s="319">
        <f>K275+K281</f>
        <v>0</v>
      </c>
      <c r="P276" s="322" t="e">
        <f>N276/O276</f>
        <v>#DIV/0!</v>
      </c>
      <c r="Q276" s="62"/>
      <c r="R276" s="62"/>
      <c r="S276" s="404"/>
      <c r="T276" s="33" t="s">
        <v>282</v>
      </c>
      <c r="U276" s="91">
        <f t="shared" ref="U276:U295" si="111">$J276/$R$2</f>
        <v>0</v>
      </c>
      <c r="V276" s="90">
        <f t="shared" ref="V276:V295" si="112">$K276/$R$2</f>
        <v>0</v>
      </c>
      <c r="W276" s="92" t="e">
        <f t="shared" ref="W276:W295" si="113">U276/V276</f>
        <v>#DIV/0!</v>
      </c>
    </row>
    <row r="277" spans="1:23" ht="15" thickBot="1" x14ac:dyDescent="0.4">
      <c r="A277" s="404"/>
      <c r="B277" s="13" t="s">
        <v>297</v>
      </c>
      <c r="C277" s="153">
        <f>COUNTIFS('Données brutes'!F:F,"But",'Données brutes'!E:E,"MAELYS",'Données brutes'!G:G,"2 3")</f>
        <v>2</v>
      </c>
      <c r="D277" s="61">
        <f>COUNTIFS('Données brutes'!F:F,"Ar GB",'Données brutes'!E:E,"MAELYS",'Données brutes'!G:G,"2 3")</f>
        <v>0</v>
      </c>
      <c r="E277" s="61">
        <f>COUNTIFS('Données brutes'!F:F,"HC",'Données brutes'!E:E,"MAELYS",'Données brutes'!G:G,"2 3")</f>
        <v>0</v>
      </c>
      <c r="F277" s="90">
        <f>COUNTIFS('Données brutes'!F:F,"tir raté NC",'Données brutes'!E:E,"MAELYS",'Données brutes'!G:G,"2 3")</f>
        <v>0</v>
      </c>
      <c r="G277" s="62"/>
      <c r="H277" s="404"/>
      <c r="I277" s="33" t="s">
        <v>297</v>
      </c>
      <c r="J277" s="91">
        <f t="shared" si="108"/>
        <v>2</v>
      </c>
      <c r="K277" s="90">
        <f t="shared" si="109"/>
        <v>2</v>
      </c>
      <c r="L277" s="92">
        <f t="shared" si="110"/>
        <v>1</v>
      </c>
      <c r="M277" s="404"/>
      <c r="N277" s="498" t="s">
        <v>395</v>
      </c>
      <c r="O277" s="498"/>
      <c r="P277" s="499"/>
      <c r="Q277" s="62"/>
      <c r="R277" s="62"/>
      <c r="S277" s="404"/>
      <c r="T277" s="33" t="s">
        <v>297</v>
      </c>
      <c r="U277" s="91">
        <f t="shared" si="111"/>
        <v>0.5</v>
      </c>
      <c r="V277" s="90">
        <f t="shared" si="112"/>
        <v>0.5</v>
      </c>
      <c r="W277" s="92">
        <f t="shared" si="113"/>
        <v>1</v>
      </c>
    </row>
    <row r="278" spans="1:23" ht="15" thickBot="1" x14ac:dyDescent="0.4">
      <c r="A278" s="404"/>
      <c r="B278" s="13" t="s">
        <v>296</v>
      </c>
      <c r="C278" s="153">
        <f>COUNTIFS('Données brutes'!F:F,"But",'Données brutes'!E:E,"MAELYS",'Données brutes'!G:G,"3 4")</f>
        <v>3</v>
      </c>
      <c r="D278" s="61">
        <f>COUNTIFS('Données brutes'!F:F,"Ar GB",'Données brutes'!E:E,"MAELYS",'Données brutes'!G:G,"3 4")</f>
        <v>2</v>
      </c>
      <c r="E278" s="61">
        <f>COUNTIFS('Données brutes'!F:F,"HC",'Données brutes'!E:E,"MAELYS",'Données brutes'!G:G,"3 4")</f>
        <v>0</v>
      </c>
      <c r="F278" s="90">
        <f>COUNTIFS('Données brutes'!F:F,"tir raté NC",'Données brutes'!E:E,"MAELYS",'Données brutes'!G:G,"3 4")</f>
        <v>1</v>
      </c>
      <c r="G278" s="62"/>
      <c r="H278" s="404"/>
      <c r="I278" s="33" t="s">
        <v>296</v>
      </c>
      <c r="J278" s="91">
        <f t="shared" si="108"/>
        <v>3</v>
      </c>
      <c r="K278" s="90">
        <f t="shared" si="109"/>
        <v>5</v>
      </c>
      <c r="L278" s="92">
        <f t="shared" si="110"/>
        <v>0.6</v>
      </c>
      <c r="M278" s="404"/>
      <c r="N278" s="319">
        <f>J276+J280</f>
        <v>0</v>
      </c>
      <c r="O278" s="319">
        <f>K276+K280</f>
        <v>0</v>
      </c>
      <c r="P278" s="322" t="e">
        <f>N278/O278</f>
        <v>#DIV/0!</v>
      </c>
      <c r="Q278" s="62"/>
      <c r="R278" s="62"/>
      <c r="S278" s="404"/>
      <c r="T278" s="33" t="s">
        <v>296</v>
      </c>
      <c r="U278" s="91">
        <f t="shared" si="111"/>
        <v>0.75</v>
      </c>
      <c r="V278" s="90">
        <f t="shared" si="112"/>
        <v>1.25</v>
      </c>
      <c r="W278" s="92">
        <f t="shared" si="113"/>
        <v>0.6</v>
      </c>
    </row>
    <row r="279" spans="1:23" ht="15" thickBot="1" x14ac:dyDescent="0.4">
      <c r="A279" s="404"/>
      <c r="B279" s="13" t="s">
        <v>298</v>
      </c>
      <c r="C279" s="153">
        <f>COUNTIFS('Données brutes'!F:F,"But",'Données brutes'!E:E,"MAELYS",'Données brutes'!G:G,"4 5")</f>
        <v>2</v>
      </c>
      <c r="D279" s="61">
        <f>COUNTIFS('Données brutes'!F:F,"Ar GB",'Données brutes'!E:E,"MAELYS",'Données brutes'!G:G,"4 5")</f>
        <v>0</v>
      </c>
      <c r="E279" s="61">
        <f>COUNTIFS('Données brutes'!F:F,"HC",'Données brutes'!E:E,"MAELYS",'Données brutes'!G:G,"4 5")</f>
        <v>0</v>
      </c>
      <c r="F279" s="90">
        <f>COUNTIFS('Données brutes'!F:F,"tir raté NC",'Données brutes'!E:E,"MAELYS",'Données brutes'!G:G,"4 5")</f>
        <v>0</v>
      </c>
      <c r="G279" s="62"/>
      <c r="H279" s="404"/>
      <c r="I279" s="33" t="s">
        <v>298</v>
      </c>
      <c r="J279" s="91">
        <f t="shared" si="108"/>
        <v>2</v>
      </c>
      <c r="K279" s="90">
        <f t="shared" si="109"/>
        <v>2</v>
      </c>
      <c r="L279" s="92">
        <f t="shared" si="110"/>
        <v>1</v>
      </c>
      <c r="M279" s="404"/>
      <c r="N279" s="498" t="s">
        <v>396</v>
      </c>
      <c r="O279" s="498"/>
      <c r="P279" s="499"/>
      <c r="Q279" s="62"/>
      <c r="R279" s="62"/>
      <c r="S279" s="404"/>
      <c r="T279" s="33" t="s">
        <v>298</v>
      </c>
      <c r="U279" s="91">
        <f t="shared" si="111"/>
        <v>0.5</v>
      </c>
      <c r="V279" s="90">
        <f t="shared" si="112"/>
        <v>0.5</v>
      </c>
      <c r="W279" s="92">
        <f t="shared" si="113"/>
        <v>1</v>
      </c>
    </row>
    <row r="280" spans="1:23" ht="15" thickBot="1" x14ac:dyDescent="0.4">
      <c r="A280" s="404"/>
      <c r="B280" s="13" t="s">
        <v>283</v>
      </c>
      <c r="C280" s="153">
        <f>COUNTIFS('Données brutes'!F:F,"But",'Données brutes'!E:E,"MAELYS",'Données brutes'!G:G,"5 6")</f>
        <v>0</v>
      </c>
      <c r="D280" s="61">
        <f>COUNTIFS('Données brutes'!F:F,"Ar GB",'Données brutes'!E:E,"MAELYS",'Données brutes'!G:G,"5 6")</f>
        <v>0</v>
      </c>
      <c r="E280" s="61">
        <f>COUNTIFS('Données brutes'!F:F,"HC",'Données brutes'!E:E,"MAELYS",'Données brutes'!G:G,"5 6")</f>
        <v>0</v>
      </c>
      <c r="F280" s="90">
        <f>COUNTIFS('Données brutes'!F:F,"tir raté NC",'Données brutes'!E:E,"MAELYS",'Données brutes'!G:G,"5 6")</f>
        <v>0</v>
      </c>
      <c r="G280" s="62"/>
      <c r="H280" s="404"/>
      <c r="I280" s="33" t="s">
        <v>283</v>
      </c>
      <c r="J280" s="91">
        <f t="shared" si="108"/>
        <v>0</v>
      </c>
      <c r="K280" s="90">
        <f t="shared" si="109"/>
        <v>0</v>
      </c>
      <c r="L280" s="92" t="e">
        <f t="shared" si="110"/>
        <v>#DIV/0!</v>
      </c>
      <c r="M280" s="404"/>
      <c r="N280" s="319">
        <f>J277+J278+J279</f>
        <v>7</v>
      </c>
      <c r="O280" s="319">
        <f>K277+K278+K279</f>
        <v>9</v>
      </c>
      <c r="P280" s="322">
        <f>N280/O280</f>
        <v>0.77777777777777779</v>
      </c>
      <c r="Q280" s="62"/>
      <c r="R280" s="62"/>
      <c r="S280" s="404"/>
      <c r="T280" s="33" t="s">
        <v>283</v>
      </c>
      <c r="U280" s="91">
        <f t="shared" si="111"/>
        <v>0</v>
      </c>
      <c r="V280" s="90">
        <f t="shared" si="112"/>
        <v>0</v>
      </c>
      <c r="W280" s="92" t="e">
        <f t="shared" si="113"/>
        <v>#DIV/0!</v>
      </c>
    </row>
    <row r="281" spans="1:23" ht="15" thickBot="1" x14ac:dyDescent="0.4">
      <c r="A281" s="490"/>
      <c r="B281" s="36" t="s">
        <v>17</v>
      </c>
      <c r="C281" s="154">
        <f>COUNTIFS('Données brutes'!F:F,"But",'Données brutes'!E:E,"MAELYS",'Données brutes'!G:G,"ALD")</f>
        <v>0</v>
      </c>
      <c r="D281" s="155">
        <f>COUNTIFS('Données brutes'!F:F,"Ar GB",'Données brutes'!E:E,"MAELYS",'Données brutes'!G:G,"ALD")</f>
        <v>0</v>
      </c>
      <c r="E281" s="155">
        <f>COUNTIFS('Données brutes'!F:F,"HC",'Données brutes'!E:E,"MAELYS",'Données brutes'!G:G,"ALD")</f>
        <v>0</v>
      </c>
      <c r="F281" s="90">
        <f>COUNTIFS('Données brutes'!F:F,"tir raté NC",'Données brutes'!E:E,"MAELYS",'Données brutes'!G:G,"ALD")</f>
        <v>0</v>
      </c>
      <c r="G281" s="122"/>
      <c r="H281" s="490"/>
      <c r="I281" s="73" t="s">
        <v>17</v>
      </c>
      <c r="J281" s="91">
        <f t="shared" si="108"/>
        <v>0</v>
      </c>
      <c r="K281" s="90">
        <f t="shared" si="109"/>
        <v>0</v>
      </c>
      <c r="L281" s="92" t="e">
        <f t="shared" si="110"/>
        <v>#DIV/0!</v>
      </c>
      <c r="M281" s="404"/>
      <c r="N281" s="325"/>
      <c r="O281" s="325"/>
      <c r="P281" s="326"/>
      <c r="Q281" s="62"/>
      <c r="R281" s="62"/>
      <c r="S281" s="490"/>
      <c r="T281" s="73" t="s">
        <v>17</v>
      </c>
      <c r="U281" s="91">
        <f t="shared" si="111"/>
        <v>0</v>
      </c>
      <c r="V281" s="90">
        <f t="shared" si="112"/>
        <v>0</v>
      </c>
      <c r="W281" s="92" t="e">
        <f t="shared" si="113"/>
        <v>#DIV/0!</v>
      </c>
    </row>
    <row r="282" spans="1:23" ht="15" customHeight="1" thickBot="1" x14ac:dyDescent="0.4">
      <c r="A282" s="491" t="s">
        <v>299</v>
      </c>
      <c r="B282" s="87" t="s">
        <v>301</v>
      </c>
      <c r="C282" s="152">
        <f>COUNTIFS('Données brutes'!F:F,"But",'Données brutes'!E:E,"MAELYS",'Données brutes'!G:G,"Central 7m 9m appui")</f>
        <v>0</v>
      </c>
      <c r="D282" s="90">
        <f>COUNTIFS('Données brutes'!F:F,"Ar GB",'Données brutes'!E:E,"MAELYS",'Données brutes'!G:G,"Central 7m 9m appui")</f>
        <v>0</v>
      </c>
      <c r="E282" s="90">
        <f>COUNTIFS('Données brutes'!F:F,"HC",'Données brutes'!E:E,"MAELYS",'Données brutes'!G:G,"Central 7m 9m appui")</f>
        <v>0</v>
      </c>
      <c r="F282" s="90">
        <f>COUNTIFS('Données brutes'!F:F,"tir raté NC",'Données brutes'!E:E,"MAELYS",'Données brutes'!G:G,"ALD")</f>
        <v>0</v>
      </c>
      <c r="G282" s="121"/>
      <c r="H282" s="491" t="s">
        <v>299</v>
      </c>
      <c r="I282" s="32" t="s">
        <v>301</v>
      </c>
      <c r="J282" s="91">
        <f t="shared" si="108"/>
        <v>0</v>
      </c>
      <c r="K282" s="90">
        <f t="shared" si="109"/>
        <v>0</v>
      </c>
      <c r="L282" s="92" t="e">
        <f t="shared" si="110"/>
        <v>#DIV/0!</v>
      </c>
      <c r="M282" s="495" t="s">
        <v>299</v>
      </c>
      <c r="N282" s="319">
        <f>SUM(J282:J284)</f>
        <v>0</v>
      </c>
      <c r="O282" s="319">
        <f>SUM(K282:K284)</f>
        <v>0</v>
      </c>
      <c r="P282" s="322" t="e">
        <f>N282/O282</f>
        <v>#DIV/0!</v>
      </c>
      <c r="Q282" s="62"/>
      <c r="R282" s="62"/>
      <c r="S282" s="491" t="s">
        <v>299</v>
      </c>
      <c r="T282" s="32" t="s">
        <v>301</v>
      </c>
      <c r="U282" s="91">
        <f t="shared" si="111"/>
        <v>0</v>
      </c>
      <c r="V282" s="90">
        <f t="shared" si="112"/>
        <v>0</v>
      </c>
      <c r="W282" s="92" t="e">
        <f t="shared" si="113"/>
        <v>#DIV/0!</v>
      </c>
    </row>
    <row r="283" spans="1:23" ht="15" thickBot="1" x14ac:dyDescent="0.4">
      <c r="A283" s="495"/>
      <c r="B283" s="13" t="s">
        <v>302</v>
      </c>
      <c r="C283" s="153">
        <f>COUNTIFS('Données brutes'!F:F,"But",'Données brutes'!E:E,"MAELYS",'Données brutes'!G:G,"7m 9m Ext G appui")</f>
        <v>0</v>
      </c>
      <c r="D283" s="61">
        <f>COUNTIFS('Données brutes'!F:F,"Ar GB",'Données brutes'!E:E,"MAELYS",'Données brutes'!G:G,"7m 9m Ext G appui")</f>
        <v>0</v>
      </c>
      <c r="E283" s="61">
        <f>COUNTIFS('Données brutes'!F:F,"HC",'Données brutes'!E:E,"MAELYS",'Données brutes'!G:G,"7m 9m Ext G appui")</f>
        <v>0</v>
      </c>
      <c r="F283" s="90">
        <f>COUNTIFS('Données brutes'!F:F,"tir raté NC",'Données brutes'!E:E,"MAELYS",'Données brutes'!G:G,"7m 9m Ext G appui")</f>
        <v>0</v>
      </c>
      <c r="G283" s="62"/>
      <c r="H283" s="495"/>
      <c r="I283" s="33" t="s">
        <v>302</v>
      </c>
      <c r="J283" s="91">
        <f t="shared" si="108"/>
        <v>0</v>
      </c>
      <c r="K283" s="90">
        <f t="shared" si="109"/>
        <v>0</v>
      </c>
      <c r="L283" s="92" t="e">
        <f t="shared" si="110"/>
        <v>#DIV/0!</v>
      </c>
      <c r="M283" s="495"/>
      <c r="N283" s="325"/>
      <c r="O283" s="325"/>
      <c r="P283" s="326"/>
      <c r="Q283" s="62"/>
      <c r="R283" s="62"/>
      <c r="S283" s="495"/>
      <c r="T283" s="33" t="s">
        <v>302</v>
      </c>
      <c r="U283" s="91">
        <f t="shared" si="111"/>
        <v>0</v>
      </c>
      <c r="V283" s="90">
        <f t="shared" si="112"/>
        <v>0</v>
      </c>
      <c r="W283" s="92" t="e">
        <f t="shared" si="113"/>
        <v>#DIV/0!</v>
      </c>
    </row>
    <row r="284" spans="1:23" ht="15" thickBot="1" x14ac:dyDescent="0.4">
      <c r="A284" s="492"/>
      <c r="B284" s="36" t="s">
        <v>303</v>
      </c>
      <c r="C284" s="154">
        <f>COUNTIFS('Données brutes'!F:F,"But",'Données brutes'!E:E,"MAELYS",'Données brutes'!G:G,"7m 9m Ext D appui")</f>
        <v>0</v>
      </c>
      <c r="D284" s="155">
        <f>COUNTIFS('Données brutes'!F:F,"Ar GB",'Données brutes'!E:E,"MAELYS",'Données brutes'!G:G,"7m 9m Ext D appui")</f>
        <v>0</v>
      </c>
      <c r="E284" s="155">
        <f>COUNTIFS('Données brutes'!F:F,"HC",'Données brutes'!E:E,"MAELYS",'Données brutes'!G:G,"7m 9m Ext D appui")</f>
        <v>0</v>
      </c>
      <c r="F284" s="90">
        <f>COUNTIFS('Données brutes'!F:F,"tir raté NC",'Données brutes'!E:E,"MAELYS",'Données brutes'!G:G,"ALD")</f>
        <v>0</v>
      </c>
      <c r="G284" s="122"/>
      <c r="H284" s="492"/>
      <c r="I284" s="73" t="s">
        <v>303</v>
      </c>
      <c r="J284" s="91">
        <f t="shared" si="108"/>
        <v>0</v>
      </c>
      <c r="K284" s="90">
        <f t="shared" si="109"/>
        <v>0</v>
      </c>
      <c r="L284" s="92" t="e">
        <f t="shared" si="110"/>
        <v>#DIV/0!</v>
      </c>
      <c r="M284" s="495"/>
      <c r="N284" s="325"/>
      <c r="O284" s="325"/>
      <c r="P284" s="326"/>
      <c r="Q284" s="62"/>
      <c r="R284" s="62"/>
      <c r="S284" s="492"/>
      <c r="T284" s="73" t="s">
        <v>303</v>
      </c>
      <c r="U284" s="91">
        <f t="shared" si="111"/>
        <v>0</v>
      </c>
      <c r="V284" s="90">
        <f t="shared" si="112"/>
        <v>0</v>
      </c>
      <c r="W284" s="92" t="e">
        <f t="shared" si="113"/>
        <v>#DIV/0!</v>
      </c>
    </row>
    <row r="285" spans="1:23" ht="15" customHeight="1" thickBot="1" x14ac:dyDescent="0.4">
      <c r="A285" s="493" t="s">
        <v>300</v>
      </c>
      <c r="B285" s="87" t="s">
        <v>304</v>
      </c>
      <c r="C285" s="152">
        <f>COUNTIFS('Données brutes'!F:F,"But",'Données brutes'!E:E,"MAELYS",'Données brutes'!G:G,"7m 9m central suspension")</f>
        <v>0</v>
      </c>
      <c r="D285" s="90">
        <f>COUNTIFS('Données brutes'!F:F,"Ar GB",'Données brutes'!E:E,"MAELYS",'Données brutes'!G:G,"7m 9m central suspension")</f>
        <v>0</v>
      </c>
      <c r="E285" s="90">
        <f>COUNTIFS('Données brutes'!F:F,"HC",'Données brutes'!E:E,"MAELYS",'Données brutes'!G:G,"7m 9m central suspension")</f>
        <v>0</v>
      </c>
      <c r="F285" s="90">
        <f>COUNTIFS('Données brutes'!F:F,"tir raté NC",'Données brutes'!E:E,"MAELYS",'Données brutes'!G:G,"ALD")</f>
        <v>0</v>
      </c>
      <c r="G285" s="121"/>
      <c r="H285" s="493" t="s">
        <v>300</v>
      </c>
      <c r="I285" s="32" t="s">
        <v>304</v>
      </c>
      <c r="J285" s="91">
        <f t="shared" si="108"/>
        <v>0</v>
      </c>
      <c r="K285" s="90">
        <f t="shared" si="109"/>
        <v>0</v>
      </c>
      <c r="L285" s="92" t="e">
        <f t="shared" si="110"/>
        <v>#DIV/0!</v>
      </c>
      <c r="M285" s="495" t="s">
        <v>300</v>
      </c>
      <c r="N285" s="319">
        <f>SUM(J285:J287)</f>
        <v>0</v>
      </c>
      <c r="O285" s="319">
        <f>SUM(K285:K287)</f>
        <v>0</v>
      </c>
      <c r="P285" s="322" t="e">
        <f>N285/O285</f>
        <v>#DIV/0!</v>
      </c>
      <c r="Q285" s="62"/>
      <c r="R285" s="62"/>
      <c r="S285" s="493" t="s">
        <v>300</v>
      </c>
      <c r="T285" s="32" t="s">
        <v>304</v>
      </c>
      <c r="U285" s="91">
        <f t="shared" si="111"/>
        <v>0</v>
      </c>
      <c r="V285" s="90">
        <f t="shared" si="112"/>
        <v>0</v>
      </c>
      <c r="W285" s="92" t="e">
        <f t="shared" si="113"/>
        <v>#DIV/0!</v>
      </c>
    </row>
    <row r="286" spans="1:23" ht="15" thickBot="1" x14ac:dyDescent="0.4">
      <c r="A286" s="506"/>
      <c r="B286" s="13" t="s">
        <v>305</v>
      </c>
      <c r="C286" s="153">
        <f>COUNTIFS('Données brutes'!F:F,"But",'Données brutes'!E:E,"MAELYS",'Données brutes'!G:G,"7m 9m Ext G suspension")</f>
        <v>0</v>
      </c>
      <c r="D286" s="61">
        <f>COUNTIFS('Données brutes'!F:F,"Ar GB",'Données brutes'!E:E,"MAELYS",'Données brutes'!G:G,"7m 9m Ext G suspension")</f>
        <v>0</v>
      </c>
      <c r="E286" s="61">
        <f>COUNTIFS('Données brutes'!F:F,"HC",'Données brutes'!E:E,"MAELYS",'Données brutes'!G:G,"7m 9m Ext G suspension")</f>
        <v>0</v>
      </c>
      <c r="F286" s="90">
        <f>COUNTIFS('Données brutes'!F:F,"tir raté NC",'Données brutes'!E:E,"MAELYS",'Données brutes'!G:G,"ALD")</f>
        <v>0</v>
      </c>
      <c r="G286" s="62"/>
      <c r="H286" s="506"/>
      <c r="I286" s="33" t="s">
        <v>305</v>
      </c>
      <c r="J286" s="91">
        <f t="shared" si="108"/>
        <v>0</v>
      </c>
      <c r="K286" s="90">
        <f t="shared" si="109"/>
        <v>0</v>
      </c>
      <c r="L286" s="92" t="e">
        <f t="shared" si="110"/>
        <v>#DIV/0!</v>
      </c>
      <c r="M286" s="495"/>
      <c r="N286" s="325"/>
      <c r="O286" s="325"/>
      <c r="P286" s="326"/>
      <c r="Q286" s="62"/>
      <c r="R286" s="62"/>
      <c r="S286" s="506"/>
      <c r="T286" s="33" t="s">
        <v>305</v>
      </c>
      <c r="U286" s="91">
        <f t="shared" si="111"/>
        <v>0</v>
      </c>
      <c r="V286" s="90">
        <f t="shared" si="112"/>
        <v>0</v>
      </c>
      <c r="W286" s="92" t="e">
        <f t="shared" si="113"/>
        <v>#DIV/0!</v>
      </c>
    </row>
    <row r="287" spans="1:23" ht="15" thickBot="1" x14ac:dyDescent="0.4">
      <c r="A287" s="494"/>
      <c r="B287" s="36" t="s">
        <v>306</v>
      </c>
      <c r="C287" s="153">
        <f>COUNTIFS('Données brutes'!F:F,"But",'Données brutes'!E:E,"MAELYS",'Données brutes'!G:G,"7m 9m Ext D suspension")</f>
        <v>0</v>
      </c>
      <c r="D287" s="61">
        <f>COUNTIFS('Données brutes'!F:F,"Ar GB",'Données brutes'!E:E,"MAELYS",'Données brutes'!G:G,"7m 9m Ext D suspension")</f>
        <v>0</v>
      </c>
      <c r="E287" s="61">
        <f>COUNTIFS('Données brutes'!F:F,"HC",'Données brutes'!E:E,"MAELYS",'Données brutes'!G:G,"7m 9m Ext D suspension")</f>
        <v>0</v>
      </c>
      <c r="F287" s="90">
        <f>COUNTIFS('Données brutes'!F:F,"tir raté NC",'Données brutes'!E:E,"MAELYS",'Données brutes'!G:G,"7m 9m Ext D suspension")</f>
        <v>0</v>
      </c>
      <c r="G287" s="122"/>
      <c r="H287" s="494"/>
      <c r="I287" s="73" t="s">
        <v>306</v>
      </c>
      <c r="J287" s="91">
        <f t="shared" si="108"/>
        <v>0</v>
      </c>
      <c r="K287" s="90">
        <f t="shared" si="109"/>
        <v>0</v>
      </c>
      <c r="L287" s="92" t="e">
        <f t="shared" si="110"/>
        <v>#DIV/0!</v>
      </c>
      <c r="M287" s="495"/>
      <c r="N287" s="325"/>
      <c r="O287" s="325"/>
      <c r="P287" s="326"/>
      <c r="Q287" s="62"/>
      <c r="R287" s="62"/>
      <c r="S287" s="494"/>
      <c r="T287" s="73" t="s">
        <v>306</v>
      </c>
      <c r="U287" s="91">
        <f t="shared" si="111"/>
        <v>0</v>
      </c>
      <c r="V287" s="90">
        <f t="shared" si="112"/>
        <v>0</v>
      </c>
      <c r="W287" s="92" t="e">
        <f t="shared" si="113"/>
        <v>#DIV/0!</v>
      </c>
    </row>
    <row r="288" spans="1:23" ht="15" thickBot="1" x14ac:dyDescent="0.4">
      <c r="A288" s="407" t="s">
        <v>146</v>
      </c>
      <c r="B288" s="87" t="s">
        <v>307</v>
      </c>
      <c r="C288" s="152">
        <f>COUNTIFS('Données brutes'!F:F,"But",'Données brutes'!E:E,"MAELYS",'Données brutes'!G:G,"9m G")</f>
        <v>0</v>
      </c>
      <c r="D288" s="90">
        <f>COUNTIFS('Données brutes'!F:F,"Ar GB",'Données brutes'!E:E,"MAELYS",'Données brutes'!G:G,"9m G")</f>
        <v>0</v>
      </c>
      <c r="E288" s="90">
        <f>COUNTIFS('Données brutes'!F:F,"HC",'Données brutes'!E:E,"MAELYS",'Données brutes'!G:G,"9m G")</f>
        <v>0</v>
      </c>
      <c r="F288" s="90">
        <f>COUNTIFS('Données brutes'!F:F,"tir raté NC",'Données brutes'!E:E,"MAELYS",'Données brutes'!G:G,"9m G")</f>
        <v>0</v>
      </c>
      <c r="G288" s="121"/>
      <c r="H288" s="407" t="s">
        <v>146</v>
      </c>
      <c r="I288" s="32" t="s">
        <v>307</v>
      </c>
      <c r="J288" s="91">
        <f t="shared" si="108"/>
        <v>0</v>
      </c>
      <c r="K288" s="90">
        <f t="shared" si="109"/>
        <v>0</v>
      </c>
      <c r="L288" s="92" t="e">
        <f t="shared" si="110"/>
        <v>#DIV/0!</v>
      </c>
      <c r="M288" s="404" t="s">
        <v>146</v>
      </c>
      <c r="N288" s="319">
        <f>SUM(J288:J290)</f>
        <v>0</v>
      </c>
      <c r="O288" s="319">
        <f>SUM(K288:K290)</f>
        <v>0</v>
      </c>
      <c r="P288" s="322" t="e">
        <f>N288/O288</f>
        <v>#DIV/0!</v>
      </c>
      <c r="Q288" s="62"/>
      <c r="R288" s="62"/>
      <c r="S288" s="407" t="s">
        <v>146</v>
      </c>
      <c r="T288" s="32" t="s">
        <v>307</v>
      </c>
      <c r="U288" s="91">
        <f t="shared" si="111"/>
        <v>0</v>
      </c>
      <c r="V288" s="90">
        <f t="shared" si="112"/>
        <v>0</v>
      </c>
      <c r="W288" s="92" t="e">
        <f t="shared" si="113"/>
        <v>#DIV/0!</v>
      </c>
    </row>
    <row r="289" spans="1:23" ht="15" thickBot="1" x14ac:dyDescent="0.4">
      <c r="A289" s="404"/>
      <c r="B289" s="13" t="s">
        <v>308</v>
      </c>
      <c r="C289" s="152">
        <f>COUNTIFS('Données brutes'!F:F,"But",'Données brutes'!E:E,"MAELYS",'Données brutes'!G:G,"9m +")</f>
        <v>0</v>
      </c>
      <c r="D289" s="90">
        <f>COUNTIFS('Données brutes'!F:F,"Ar GB",'Données brutes'!E:E,"MAELYS",'Données brutes'!G:G,"9m +")</f>
        <v>0</v>
      </c>
      <c r="E289" s="90">
        <f>COUNTIFS('Données brutes'!F:F,"HC",'Données brutes'!E:E,"MAELYS",'Données brutes'!G:G,"9m +")</f>
        <v>0</v>
      </c>
      <c r="F289" s="90">
        <f>COUNTIFS('Données brutes'!F:F,"tir raté NC",'Données brutes'!E:E,"MAELYS",'Données brutes'!G:G,"9m +")</f>
        <v>0</v>
      </c>
      <c r="G289" s="62"/>
      <c r="H289" s="404"/>
      <c r="I289" s="33" t="s">
        <v>308</v>
      </c>
      <c r="J289" s="91">
        <f t="shared" si="108"/>
        <v>0</v>
      </c>
      <c r="K289" s="90">
        <f t="shared" si="109"/>
        <v>0</v>
      </c>
      <c r="L289" s="92" t="e">
        <f t="shared" si="110"/>
        <v>#DIV/0!</v>
      </c>
      <c r="M289" s="404"/>
      <c r="N289" s="325"/>
      <c r="O289" s="325"/>
      <c r="P289" s="326"/>
      <c r="Q289" s="62"/>
      <c r="R289" s="62"/>
      <c r="S289" s="404"/>
      <c r="T289" s="33" t="s">
        <v>308</v>
      </c>
      <c r="U289" s="91">
        <f t="shared" si="111"/>
        <v>0</v>
      </c>
      <c r="V289" s="90">
        <f t="shared" si="112"/>
        <v>0</v>
      </c>
      <c r="W289" s="92" t="e">
        <f t="shared" si="113"/>
        <v>#DIV/0!</v>
      </c>
    </row>
    <row r="290" spans="1:23" ht="15" thickBot="1" x14ac:dyDescent="0.4">
      <c r="A290" s="490"/>
      <c r="B290" s="36" t="s">
        <v>309</v>
      </c>
      <c r="C290" s="152">
        <f>COUNTIFS('Données brutes'!F:F,"But",'Données brutes'!E:E,"MAELYS",'Données brutes'!G:G,"9m D")</f>
        <v>0</v>
      </c>
      <c r="D290" s="90">
        <f>COUNTIFS('Données brutes'!F:F,"Ar GB",'Données brutes'!E:E,"MAELYS",'Données brutes'!G:G,"9m D")</f>
        <v>0</v>
      </c>
      <c r="E290" s="90">
        <f>COUNTIFS('Données brutes'!F:F,"HC",'Données brutes'!E:E,"MAELYS",'Données brutes'!G:G,"9m D")</f>
        <v>0</v>
      </c>
      <c r="F290" s="90">
        <f>COUNTIFS('Données brutes'!F:F,"tir raté NC",'Données brutes'!E:E,"MAELYS",'Données brutes'!G:G,"9m D")</f>
        <v>0</v>
      </c>
      <c r="G290" s="122"/>
      <c r="H290" s="490"/>
      <c r="I290" s="73" t="s">
        <v>309</v>
      </c>
      <c r="J290" s="91">
        <f t="shared" si="108"/>
        <v>0</v>
      </c>
      <c r="K290" s="90">
        <f t="shared" si="109"/>
        <v>0</v>
      </c>
      <c r="L290" s="92" t="e">
        <f t="shared" si="110"/>
        <v>#DIV/0!</v>
      </c>
      <c r="M290" s="404"/>
      <c r="N290" s="325"/>
      <c r="O290" s="325"/>
      <c r="P290" s="326"/>
      <c r="Q290" s="62"/>
      <c r="R290" s="62"/>
      <c r="S290" s="490"/>
      <c r="T290" s="73" t="s">
        <v>309</v>
      </c>
      <c r="U290" s="91">
        <f t="shared" si="111"/>
        <v>0</v>
      </c>
      <c r="V290" s="90">
        <f t="shared" si="112"/>
        <v>0</v>
      </c>
      <c r="W290" s="92" t="e">
        <f t="shared" si="113"/>
        <v>#DIV/0!</v>
      </c>
    </row>
    <row r="291" spans="1:23" ht="15" customHeight="1" thickBot="1" x14ac:dyDescent="0.4">
      <c r="A291" s="493" t="s">
        <v>310</v>
      </c>
      <c r="B291" s="87" t="s">
        <v>22</v>
      </c>
      <c r="C291" s="152">
        <f>COUNTIFS('Données brutes'!F:F,"But",'Données brutes'!E:E,"MAELYS",'Données brutes'!G:G,"But vide")</f>
        <v>0</v>
      </c>
      <c r="D291" s="90">
        <f>COUNTIFS('Données brutes'!F:F,"Ar GB",'Données brutes'!E:E,"MAELYS",'Données brutes'!G:G,"But vide")</f>
        <v>0</v>
      </c>
      <c r="E291" s="90">
        <f>COUNTIFS('Données brutes'!F:F,"HC",'Données brutes'!E:E,"MAELYS",'Données brutes'!G:G,"But vide")</f>
        <v>0</v>
      </c>
      <c r="F291" s="90">
        <f>COUNTIFS('Données brutes'!F:F,"tir raté NC",'Données brutes'!E:E,"MAELYS",'Données brutes'!G:G,"But vide")</f>
        <v>0</v>
      </c>
      <c r="G291" s="121"/>
      <c r="H291" s="493" t="s">
        <v>310</v>
      </c>
      <c r="I291" s="32" t="s">
        <v>22</v>
      </c>
      <c r="J291" s="91">
        <f t="shared" si="108"/>
        <v>0</v>
      </c>
      <c r="K291" s="90">
        <f t="shared" si="109"/>
        <v>0</v>
      </c>
      <c r="L291" s="92" t="e">
        <f t="shared" si="110"/>
        <v>#DIV/0!</v>
      </c>
      <c r="M291" s="495" t="s">
        <v>310</v>
      </c>
      <c r="N291" s="319">
        <f>J291+J292</f>
        <v>0</v>
      </c>
      <c r="O291" s="319">
        <f>K291+K292</f>
        <v>0</v>
      </c>
      <c r="P291" s="322" t="e">
        <f>N291/O291</f>
        <v>#DIV/0!</v>
      </c>
      <c r="Q291" s="62"/>
      <c r="R291" s="62"/>
      <c r="S291" s="493" t="s">
        <v>310</v>
      </c>
      <c r="T291" s="32" t="s">
        <v>22</v>
      </c>
      <c r="U291" s="91">
        <f t="shared" si="111"/>
        <v>0</v>
      </c>
      <c r="V291" s="90">
        <f t="shared" si="112"/>
        <v>0</v>
      </c>
      <c r="W291" s="92" t="e">
        <f t="shared" si="113"/>
        <v>#DIV/0!</v>
      </c>
    </row>
    <row r="292" spans="1:23" ht="15" thickBot="1" x14ac:dyDescent="0.4">
      <c r="A292" s="494"/>
      <c r="B292" s="36" t="s">
        <v>12</v>
      </c>
      <c r="C292" s="152">
        <f>COUNTIFS('Données brutes'!F:F,"But",'Données brutes'!E:E,"MAELYS",'Données brutes'!G:G,"CA MB")</f>
        <v>0</v>
      </c>
      <c r="D292" s="90">
        <f>COUNTIFS('Données brutes'!F:F,"Ar GB",'Données brutes'!E:E,"MAELYS",'Données brutes'!G:G,"CA MB")</f>
        <v>0</v>
      </c>
      <c r="E292" s="90">
        <f>COUNTIFS('Données brutes'!F:F,"HC",'Données brutes'!E:E,"MAELYS",'Données brutes'!G:G,"CA MB")</f>
        <v>0</v>
      </c>
      <c r="F292" s="90">
        <f>COUNTIFS('Données brutes'!F:F,"tir raté NC",'Données brutes'!E:E,"MAELYS",'Données brutes'!G:G,"CA MB")</f>
        <v>0</v>
      </c>
      <c r="G292" s="122"/>
      <c r="H292" s="494"/>
      <c r="I292" s="73" t="s">
        <v>12</v>
      </c>
      <c r="J292" s="91">
        <f t="shared" si="108"/>
        <v>0</v>
      </c>
      <c r="K292" s="90">
        <f t="shared" si="109"/>
        <v>0</v>
      </c>
      <c r="L292" s="92" t="e">
        <f t="shared" si="110"/>
        <v>#DIV/0!</v>
      </c>
      <c r="M292" s="495"/>
      <c r="N292" s="325"/>
      <c r="O292" s="325"/>
      <c r="P292" s="326"/>
      <c r="Q292" s="62"/>
      <c r="R292" s="62"/>
      <c r="S292" s="494"/>
      <c r="T292" s="73" t="s">
        <v>12</v>
      </c>
      <c r="U292" s="91">
        <f t="shared" si="111"/>
        <v>0</v>
      </c>
      <c r="V292" s="90">
        <f t="shared" si="112"/>
        <v>0</v>
      </c>
      <c r="W292" s="92" t="e">
        <f t="shared" si="113"/>
        <v>#DIV/0!</v>
      </c>
    </row>
    <row r="293" spans="1:23" ht="15" thickBot="1" x14ac:dyDescent="0.4">
      <c r="A293" s="488" t="s">
        <v>311</v>
      </c>
      <c r="B293" s="507"/>
      <c r="C293" s="156">
        <f>SUM(C275:C292)</f>
        <v>7</v>
      </c>
      <c r="D293" s="157">
        <f t="shared" ref="D293:E293" si="114">SUM(D275:D292)</f>
        <v>2</v>
      </c>
      <c r="E293" s="157">
        <f t="shared" si="114"/>
        <v>0</v>
      </c>
      <c r="F293" s="157">
        <f>SUM(F275:F288)</f>
        <v>1</v>
      </c>
      <c r="G293" s="123"/>
      <c r="H293" s="488" t="s">
        <v>311</v>
      </c>
      <c r="I293" s="489"/>
      <c r="J293" s="91">
        <f t="shared" si="108"/>
        <v>7</v>
      </c>
      <c r="K293" s="90">
        <f t="shared" si="109"/>
        <v>9</v>
      </c>
      <c r="L293" s="92">
        <f t="shared" si="110"/>
        <v>0.77777777777777779</v>
      </c>
      <c r="M293" s="324"/>
      <c r="N293" s="325"/>
      <c r="O293" s="325"/>
      <c r="P293" s="326"/>
      <c r="Q293" s="62"/>
      <c r="R293" s="62"/>
      <c r="S293" s="488" t="s">
        <v>311</v>
      </c>
      <c r="T293" s="489"/>
      <c r="U293" s="91">
        <f t="shared" si="111"/>
        <v>1.75</v>
      </c>
      <c r="V293" s="90">
        <f t="shared" si="112"/>
        <v>2.25</v>
      </c>
      <c r="W293" s="92">
        <f t="shared" si="113"/>
        <v>0.77777777777777779</v>
      </c>
    </row>
    <row r="294" spans="1:23" ht="15" thickBot="1" x14ac:dyDescent="0.4">
      <c r="A294" s="94"/>
      <c r="B294" s="87" t="s">
        <v>59</v>
      </c>
      <c r="C294" s="152">
        <f>COUNTIFS('Données brutes'!F:F,"But",'Données brutes'!E:E,"MAELYS",'Données brutes'!G:G,"Jet 7m")</f>
        <v>0</v>
      </c>
      <c r="D294" s="90">
        <f>COUNTIFS('Données brutes'!F:F,"Ar GB",'Données brutes'!E:E,"MAELYS",'Données brutes'!G:G,"Jet 7m")</f>
        <v>0</v>
      </c>
      <c r="E294" s="90">
        <f>COUNTIFS('Données brutes'!F:F,"HC",'Données brutes'!E:E,"MAELYS",'Données brutes'!G:G,"Jet 7m")</f>
        <v>0</v>
      </c>
      <c r="F294" s="90">
        <f>COUNTIFS('Données brutes'!F:F,"tir raté NC",'Données brutes'!E:E,"MAELYS",'Données brutes'!G:G,"Jet 7m")</f>
        <v>0</v>
      </c>
      <c r="G294" s="508"/>
      <c r="H294" s="94"/>
      <c r="I294" s="32" t="s">
        <v>59</v>
      </c>
      <c r="J294" s="91">
        <f t="shared" si="108"/>
        <v>0</v>
      </c>
      <c r="K294" s="90">
        <f t="shared" si="109"/>
        <v>0</v>
      </c>
      <c r="L294" s="92" t="e">
        <f t="shared" si="110"/>
        <v>#DIV/0!</v>
      </c>
      <c r="M294" s="324"/>
      <c r="N294" s="325"/>
      <c r="O294" s="325"/>
      <c r="P294" s="326"/>
      <c r="Q294" s="62"/>
      <c r="R294" s="62"/>
      <c r="S294" s="94"/>
      <c r="T294" s="32" t="s">
        <v>59</v>
      </c>
      <c r="U294" s="91">
        <f t="shared" si="111"/>
        <v>0</v>
      </c>
      <c r="V294" s="90">
        <f t="shared" si="112"/>
        <v>0</v>
      </c>
      <c r="W294" s="92" t="e">
        <f t="shared" si="113"/>
        <v>#DIV/0!</v>
      </c>
    </row>
    <row r="295" spans="1:23" ht="15" thickBot="1" x14ac:dyDescent="0.4">
      <c r="A295" s="490" t="s">
        <v>312</v>
      </c>
      <c r="B295" s="510"/>
      <c r="C295" s="156">
        <f>C293+C294</f>
        <v>7</v>
      </c>
      <c r="D295" s="156">
        <f t="shared" ref="D295" si="115">D293+D294</f>
        <v>2</v>
      </c>
      <c r="E295" s="156">
        <f t="shared" ref="E295" si="116">E293+E294</f>
        <v>0</v>
      </c>
      <c r="F295" s="156">
        <f t="shared" ref="F295" si="117">F293+F294</f>
        <v>1</v>
      </c>
      <c r="G295" s="509"/>
      <c r="H295" s="490" t="s">
        <v>312</v>
      </c>
      <c r="I295" s="511"/>
      <c r="J295" s="91">
        <f t="shared" si="108"/>
        <v>7</v>
      </c>
      <c r="K295" s="90">
        <f t="shared" si="109"/>
        <v>9</v>
      </c>
      <c r="L295" s="92">
        <f t="shared" si="110"/>
        <v>0.77777777777777779</v>
      </c>
      <c r="M295" s="327"/>
      <c r="N295" s="328"/>
      <c r="O295" s="328"/>
      <c r="P295" s="329"/>
      <c r="Q295" s="122"/>
      <c r="R295" s="122"/>
      <c r="S295" s="490" t="s">
        <v>312</v>
      </c>
      <c r="T295" s="511"/>
      <c r="U295" s="91">
        <f t="shared" si="111"/>
        <v>1.75</v>
      </c>
      <c r="V295" s="90">
        <f t="shared" si="112"/>
        <v>2.25</v>
      </c>
      <c r="W295" s="92">
        <f t="shared" si="113"/>
        <v>0.77777777777777779</v>
      </c>
    </row>
    <row r="297" spans="1:23" ht="15" thickBot="1" x14ac:dyDescent="0.4"/>
    <row r="298" spans="1:23" ht="26.5" thickBot="1" x14ac:dyDescent="0.4">
      <c r="A298" s="514" t="s">
        <v>373</v>
      </c>
      <c r="B298" s="515"/>
      <c r="C298" s="515"/>
      <c r="D298" s="515"/>
      <c r="E298" s="515"/>
      <c r="F298" s="515"/>
      <c r="G298" s="121"/>
      <c r="H298" s="425" t="s">
        <v>333</v>
      </c>
      <c r="I298" s="425"/>
      <c r="J298" s="425"/>
      <c r="K298" s="425"/>
      <c r="L298" s="425"/>
      <c r="M298" s="309"/>
      <c r="N298" s="309"/>
      <c r="O298" s="309"/>
      <c r="P298" s="309"/>
      <c r="Q298" s="121"/>
      <c r="R298" s="124" t="s">
        <v>335</v>
      </c>
      <c r="S298" s="425" t="s">
        <v>334</v>
      </c>
      <c r="T298" s="425"/>
      <c r="U298" s="425"/>
      <c r="V298" s="425"/>
      <c r="W298" s="426"/>
    </row>
    <row r="299" spans="1:23" ht="29.5" thickBot="1" x14ac:dyDescent="0.4">
      <c r="A299" s="403" t="s">
        <v>5</v>
      </c>
      <c r="B299" s="512"/>
      <c r="C299" s="118" t="s">
        <v>33</v>
      </c>
      <c r="D299" s="118" t="s">
        <v>20</v>
      </c>
      <c r="E299" s="118" t="s">
        <v>10</v>
      </c>
      <c r="F299" s="118" t="s">
        <v>277</v>
      </c>
      <c r="G299" s="62"/>
      <c r="H299" s="513" t="s">
        <v>5</v>
      </c>
      <c r="I299" s="421"/>
      <c r="J299" s="93" t="s">
        <v>33</v>
      </c>
      <c r="K299" s="119" t="s">
        <v>326</v>
      </c>
      <c r="L299" s="120" t="s">
        <v>150</v>
      </c>
      <c r="M299" s="310"/>
      <c r="N299" s="320" t="s">
        <v>33</v>
      </c>
      <c r="O299" s="320" t="s">
        <v>326</v>
      </c>
      <c r="P299" s="321" t="s">
        <v>150</v>
      </c>
      <c r="Q299" s="62"/>
      <c r="R299" s="125">
        <f>'Matchs joués'!B17</f>
        <v>1</v>
      </c>
      <c r="S299" s="513" t="s">
        <v>5</v>
      </c>
      <c r="T299" s="421"/>
      <c r="U299" s="93" t="s">
        <v>33</v>
      </c>
      <c r="V299" s="119" t="s">
        <v>326</v>
      </c>
      <c r="W299" s="120" t="s">
        <v>150</v>
      </c>
    </row>
    <row r="300" spans="1:23" ht="15" thickBot="1" x14ac:dyDescent="0.4">
      <c r="A300" s="407" t="s">
        <v>295</v>
      </c>
      <c r="B300" s="87" t="s">
        <v>15</v>
      </c>
      <c r="C300" s="152">
        <f>COUNTIFS('Données brutes'!F:F,"But",'Données brutes'!E:E,"INGRID",'Données brutes'!G:G,"ALG")</f>
        <v>0</v>
      </c>
      <c r="D300" s="90">
        <f>COUNTIFS('Données brutes'!F:F,"Ar GB",'Données brutes'!E:E,"INGRID",'Données brutes'!G:G,"ALG")</f>
        <v>0</v>
      </c>
      <c r="E300" s="90">
        <f>COUNTIFS('Données brutes'!F:F,"HC",'Données brutes'!E:E,"INGRID",'Données brutes'!G:G,"ALG")</f>
        <v>0</v>
      </c>
      <c r="F300" s="90">
        <f>COUNTIFS('Données brutes'!F:F,"tir raté NC",'Données brutes'!E:E,"INGRID",'Données brutes'!G:G,"ALG")</f>
        <v>0</v>
      </c>
      <c r="G300" s="121"/>
      <c r="H300" s="407" t="s">
        <v>295</v>
      </c>
      <c r="I300" s="32" t="s">
        <v>15</v>
      </c>
      <c r="J300" s="91">
        <f>$C300</f>
        <v>0</v>
      </c>
      <c r="K300" s="90">
        <f>$C300+$D300+$E300</f>
        <v>0</v>
      </c>
      <c r="L300" s="92" t="e">
        <f>J300/K300</f>
        <v>#DIV/0!</v>
      </c>
      <c r="M300" s="404" t="s">
        <v>295</v>
      </c>
      <c r="N300" s="496" t="s">
        <v>394</v>
      </c>
      <c r="O300" s="496"/>
      <c r="P300" s="497"/>
      <c r="Q300" s="62"/>
      <c r="R300" s="62"/>
      <c r="S300" s="407" t="s">
        <v>295</v>
      </c>
      <c r="T300" s="32" t="s">
        <v>15</v>
      </c>
      <c r="U300" s="91">
        <f>$J300/$R$2</f>
        <v>0</v>
      </c>
      <c r="V300" s="90">
        <f>$K300/$R$2</f>
        <v>0</v>
      </c>
      <c r="W300" s="92" t="e">
        <f>U300/V300</f>
        <v>#DIV/0!</v>
      </c>
    </row>
    <row r="301" spans="1:23" ht="15" thickBot="1" x14ac:dyDescent="0.4">
      <c r="A301" s="404"/>
      <c r="B301" s="13" t="s">
        <v>282</v>
      </c>
      <c r="C301" s="153">
        <f>COUNTIFS('Données brutes'!F:F,"But",'Données brutes'!E:E,"INGRID",'Données brutes'!G:G,"1 2")</f>
        <v>0</v>
      </c>
      <c r="D301" s="61">
        <f>COUNTIFS('Données brutes'!F:F,"Ar GB",'Données brutes'!E:E,"INGRID",'Données brutes'!G:G,"1 2")</f>
        <v>0</v>
      </c>
      <c r="E301" s="61">
        <f>COUNTIFS('Données brutes'!F:F,"HC",'Données brutes'!E:E,"INGRID",'Données brutes'!G:G,"1 2")</f>
        <v>0</v>
      </c>
      <c r="F301" s="90">
        <f>COUNTIFS('Données brutes'!F:F,"tir raté NC",'Données brutes'!E:E,"INGRID",'Données brutes'!G:G,"1 2")</f>
        <v>0</v>
      </c>
      <c r="G301" s="62"/>
      <c r="H301" s="404"/>
      <c r="I301" s="33" t="s">
        <v>282</v>
      </c>
      <c r="J301" s="91">
        <f t="shared" ref="J301:J320" si="118">$C301</f>
        <v>0</v>
      </c>
      <c r="K301" s="90">
        <f t="shared" ref="K301:K320" si="119">$C301+$D301+$E301</f>
        <v>0</v>
      </c>
      <c r="L301" s="92" t="e">
        <f t="shared" ref="L301:L320" si="120">J301/K301</f>
        <v>#DIV/0!</v>
      </c>
      <c r="M301" s="404"/>
      <c r="N301" s="319">
        <f>J300+J306</f>
        <v>0</v>
      </c>
      <c r="O301" s="319">
        <f>K300+K306</f>
        <v>0</v>
      </c>
      <c r="P301" s="322" t="e">
        <f>N301/O301</f>
        <v>#DIV/0!</v>
      </c>
      <c r="Q301" s="62"/>
      <c r="R301" s="62"/>
      <c r="S301" s="404"/>
      <c r="T301" s="33" t="s">
        <v>282</v>
      </c>
      <c r="U301" s="91">
        <f t="shared" ref="U301:U320" si="121">$J301/$R$2</f>
        <v>0</v>
      </c>
      <c r="V301" s="90">
        <f t="shared" ref="V301:V320" si="122">$K301/$R$2</f>
        <v>0</v>
      </c>
      <c r="W301" s="92" t="e">
        <f t="shared" ref="W301:W320" si="123">U301/V301</f>
        <v>#DIV/0!</v>
      </c>
    </row>
    <row r="302" spans="1:23" ht="15" thickBot="1" x14ac:dyDescent="0.4">
      <c r="A302" s="404"/>
      <c r="B302" s="13" t="s">
        <v>297</v>
      </c>
      <c r="C302" s="153">
        <f>COUNTIFS('Données brutes'!F:F,"But",'Données brutes'!E:E,"INGRID",'Données brutes'!G:G,"2 3")</f>
        <v>0</v>
      </c>
      <c r="D302" s="61">
        <f>COUNTIFS('Données brutes'!F:F,"Ar GB",'Données brutes'!E:E,"INGRID",'Données brutes'!G:G,"2 3")</f>
        <v>0</v>
      </c>
      <c r="E302" s="61">
        <f>COUNTIFS('Données brutes'!F:F,"HC",'Données brutes'!E:E,"INGRID",'Données brutes'!G:G,"2 3")</f>
        <v>0</v>
      </c>
      <c r="F302" s="90">
        <f>COUNTIFS('Données brutes'!F:F,"tir raté NC",'Données brutes'!E:E,"INGRID",'Données brutes'!G:G,"2 3")</f>
        <v>0</v>
      </c>
      <c r="G302" s="62"/>
      <c r="H302" s="404"/>
      <c r="I302" s="33" t="s">
        <v>297</v>
      </c>
      <c r="J302" s="91">
        <f t="shared" si="118"/>
        <v>0</v>
      </c>
      <c r="K302" s="90">
        <f t="shared" si="119"/>
        <v>0</v>
      </c>
      <c r="L302" s="92" t="e">
        <f t="shared" si="120"/>
        <v>#DIV/0!</v>
      </c>
      <c r="M302" s="404"/>
      <c r="N302" s="498" t="s">
        <v>395</v>
      </c>
      <c r="O302" s="498"/>
      <c r="P302" s="499"/>
      <c r="Q302" s="62"/>
      <c r="R302" s="62"/>
      <c r="S302" s="404"/>
      <c r="T302" s="33" t="s">
        <v>297</v>
      </c>
      <c r="U302" s="91">
        <f t="shared" si="121"/>
        <v>0</v>
      </c>
      <c r="V302" s="90">
        <f t="shared" si="122"/>
        <v>0</v>
      </c>
      <c r="W302" s="92" t="e">
        <f t="shared" si="123"/>
        <v>#DIV/0!</v>
      </c>
    </row>
    <row r="303" spans="1:23" ht="15" thickBot="1" x14ac:dyDescent="0.4">
      <c r="A303" s="404"/>
      <c r="B303" s="13" t="s">
        <v>296</v>
      </c>
      <c r="C303" s="153">
        <f>COUNTIFS('Données brutes'!F:F,"But",'Données brutes'!E:E,"INGRID",'Données brutes'!G:G,"3 4")</f>
        <v>0</v>
      </c>
      <c r="D303" s="61">
        <f>COUNTIFS('Données brutes'!F:F,"Ar GB",'Données brutes'!E:E,"INGRID",'Données brutes'!G:G,"3 4")</f>
        <v>0</v>
      </c>
      <c r="E303" s="61">
        <f>COUNTIFS('Données brutes'!F:F,"HC",'Données brutes'!E:E,"INGRID",'Données brutes'!G:G,"3 4")</f>
        <v>0</v>
      </c>
      <c r="F303" s="90">
        <f>COUNTIFS('Données brutes'!F:F,"tir raté NC",'Données brutes'!E:E,"INGRID",'Données brutes'!G:G,"3 4")</f>
        <v>0</v>
      </c>
      <c r="G303" s="62"/>
      <c r="H303" s="404"/>
      <c r="I303" s="33" t="s">
        <v>296</v>
      </c>
      <c r="J303" s="91">
        <f t="shared" si="118"/>
        <v>0</v>
      </c>
      <c r="K303" s="90">
        <f t="shared" si="119"/>
        <v>0</v>
      </c>
      <c r="L303" s="92" t="e">
        <f t="shared" si="120"/>
        <v>#DIV/0!</v>
      </c>
      <c r="M303" s="404"/>
      <c r="N303" s="319">
        <f>J301+J305</f>
        <v>0</v>
      </c>
      <c r="O303" s="319">
        <f>K301+K305</f>
        <v>0</v>
      </c>
      <c r="P303" s="323" t="e">
        <f>N303/O303</f>
        <v>#DIV/0!</v>
      </c>
      <c r="Q303" s="62"/>
      <c r="R303" s="62"/>
      <c r="S303" s="404"/>
      <c r="T303" s="33" t="s">
        <v>296</v>
      </c>
      <c r="U303" s="91">
        <f t="shared" si="121"/>
        <v>0</v>
      </c>
      <c r="V303" s="90">
        <f t="shared" si="122"/>
        <v>0</v>
      </c>
      <c r="W303" s="92" t="e">
        <f t="shared" si="123"/>
        <v>#DIV/0!</v>
      </c>
    </row>
    <row r="304" spans="1:23" ht="15" thickBot="1" x14ac:dyDescent="0.4">
      <c r="A304" s="404"/>
      <c r="B304" s="13" t="s">
        <v>298</v>
      </c>
      <c r="C304" s="153">
        <f>COUNTIFS('Données brutes'!F:F,"But",'Données brutes'!E:E,"INGRID",'Données brutes'!G:G,"4 5")</f>
        <v>0</v>
      </c>
      <c r="D304" s="61">
        <f>COUNTIFS('Données brutes'!F:F,"Ar GB",'Données brutes'!E:E,"INGRID",'Données brutes'!G:G,"4 5")</f>
        <v>0</v>
      </c>
      <c r="E304" s="61">
        <f>COUNTIFS('Données brutes'!F:F,"HC",'Données brutes'!E:E,"INGRID",'Données brutes'!G:G,"4 5")</f>
        <v>0</v>
      </c>
      <c r="F304" s="90">
        <f>COUNTIFS('Données brutes'!F:F,"tir raté NC",'Données brutes'!E:E,"INGRID",'Données brutes'!G:G,"4 5")</f>
        <v>0</v>
      </c>
      <c r="G304" s="62"/>
      <c r="H304" s="404"/>
      <c r="I304" s="33" t="s">
        <v>298</v>
      </c>
      <c r="J304" s="91">
        <f t="shared" si="118"/>
        <v>0</v>
      </c>
      <c r="K304" s="90">
        <f t="shared" si="119"/>
        <v>0</v>
      </c>
      <c r="L304" s="92" t="e">
        <f t="shared" si="120"/>
        <v>#DIV/0!</v>
      </c>
      <c r="M304" s="404"/>
      <c r="N304" s="498" t="s">
        <v>396</v>
      </c>
      <c r="O304" s="498"/>
      <c r="P304" s="499"/>
      <c r="Q304" s="62"/>
      <c r="R304" s="62"/>
      <c r="S304" s="404"/>
      <c r="T304" s="33" t="s">
        <v>298</v>
      </c>
      <c r="U304" s="91">
        <f t="shared" si="121"/>
        <v>0</v>
      </c>
      <c r="V304" s="90">
        <f t="shared" si="122"/>
        <v>0</v>
      </c>
      <c r="W304" s="92" t="e">
        <f t="shared" si="123"/>
        <v>#DIV/0!</v>
      </c>
    </row>
    <row r="305" spans="1:23" ht="15" thickBot="1" x14ac:dyDescent="0.4">
      <c r="A305" s="404"/>
      <c r="B305" s="13" t="s">
        <v>283</v>
      </c>
      <c r="C305" s="153">
        <f>COUNTIFS('Données brutes'!F:F,"But",'Données brutes'!E:E,"INGRID",'Données brutes'!G:G,"5 6")</f>
        <v>0</v>
      </c>
      <c r="D305" s="61">
        <f>COUNTIFS('Données brutes'!F:F,"Ar GB",'Données brutes'!E:E,"INGRID",'Données brutes'!G:G,"5 6")</f>
        <v>0</v>
      </c>
      <c r="E305" s="61">
        <f>COUNTIFS('Données brutes'!F:F,"HC",'Données brutes'!E:E,"INGRID",'Données brutes'!G:G,"5 6")</f>
        <v>0</v>
      </c>
      <c r="F305" s="90">
        <f>COUNTIFS('Données brutes'!F:F,"tir raté NC",'Données brutes'!E:E,"INGRID",'Données brutes'!G:G,"5 6")</f>
        <v>0</v>
      </c>
      <c r="G305" s="62"/>
      <c r="H305" s="404"/>
      <c r="I305" s="33" t="s">
        <v>283</v>
      </c>
      <c r="J305" s="91">
        <f t="shared" si="118"/>
        <v>0</v>
      </c>
      <c r="K305" s="90">
        <f t="shared" si="119"/>
        <v>0</v>
      </c>
      <c r="L305" s="92" t="e">
        <f t="shared" si="120"/>
        <v>#DIV/0!</v>
      </c>
      <c r="M305" s="404"/>
      <c r="N305" s="319">
        <f>J302+J303+J304</f>
        <v>0</v>
      </c>
      <c r="O305" s="319">
        <f>K302+K303+K304</f>
        <v>0</v>
      </c>
      <c r="P305" s="323" t="e">
        <f>N305/O305</f>
        <v>#DIV/0!</v>
      </c>
      <c r="Q305" s="62"/>
      <c r="R305" s="62"/>
      <c r="S305" s="404"/>
      <c r="T305" s="33" t="s">
        <v>283</v>
      </c>
      <c r="U305" s="91">
        <f t="shared" si="121"/>
        <v>0</v>
      </c>
      <c r="V305" s="90">
        <f t="shared" si="122"/>
        <v>0</v>
      </c>
      <c r="W305" s="92" t="e">
        <f t="shared" si="123"/>
        <v>#DIV/0!</v>
      </c>
    </row>
    <row r="306" spans="1:23" ht="15" thickBot="1" x14ac:dyDescent="0.4">
      <c r="A306" s="490"/>
      <c r="B306" s="36" t="s">
        <v>17</v>
      </c>
      <c r="C306" s="154">
        <f>COUNTIFS('Données brutes'!F:F,"But",'Données brutes'!E:E,"INGRID",'Données brutes'!G:G,"ALD")</f>
        <v>0</v>
      </c>
      <c r="D306" s="155">
        <f>COUNTIFS('Données brutes'!F:F,"Ar GB",'Données brutes'!E:E,"INGRID",'Données brutes'!G:G,"ALD")</f>
        <v>0</v>
      </c>
      <c r="E306" s="155">
        <f>COUNTIFS('Données brutes'!F:F,"HC",'Données brutes'!E:E,"INGRID",'Données brutes'!G:G,"ALD")</f>
        <v>0</v>
      </c>
      <c r="F306" s="90">
        <f>COUNTIFS('Données brutes'!F:F,"tir raté NC",'Données brutes'!E:E,"INGRID",'Données brutes'!G:G,"ALD")</f>
        <v>0</v>
      </c>
      <c r="G306" s="122"/>
      <c r="H306" s="490"/>
      <c r="I306" s="73" t="s">
        <v>17</v>
      </c>
      <c r="J306" s="91">
        <f t="shared" si="118"/>
        <v>0</v>
      </c>
      <c r="K306" s="90">
        <f t="shared" si="119"/>
        <v>0</v>
      </c>
      <c r="L306" s="92" t="e">
        <f t="shared" si="120"/>
        <v>#DIV/0!</v>
      </c>
      <c r="M306" s="404"/>
      <c r="N306" s="325"/>
      <c r="O306" s="325"/>
      <c r="P306" s="326"/>
      <c r="Q306" s="62"/>
      <c r="R306" s="62"/>
      <c r="S306" s="490"/>
      <c r="T306" s="73" t="s">
        <v>17</v>
      </c>
      <c r="U306" s="91">
        <f t="shared" si="121"/>
        <v>0</v>
      </c>
      <c r="V306" s="90">
        <f t="shared" si="122"/>
        <v>0</v>
      </c>
      <c r="W306" s="92" t="e">
        <f t="shared" si="123"/>
        <v>#DIV/0!</v>
      </c>
    </row>
    <row r="307" spans="1:23" ht="15" customHeight="1" thickBot="1" x14ac:dyDescent="0.4">
      <c r="A307" s="491" t="s">
        <v>299</v>
      </c>
      <c r="B307" s="87" t="s">
        <v>301</v>
      </c>
      <c r="C307" s="152">
        <f>COUNTIFS('Données brutes'!F:F,"But",'Données brutes'!E:E,"INGRID",'Données brutes'!G:G,"Central 7m 9m appui")</f>
        <v>0</v>
      </c>
      <c r="D307" s="90">
        <f>COUNTIFS('Données brutes'!F:F,"Ar GB",'Données brutes'!E:E,"INGRID",'Données brutes'!G:G,"Central 7m 9m appui")</f>
        <v>0</v>
      </c>
      <c r="E307" s="90">
        <f>COUNTIFS('Données brutes'!F:F,"HC",'Données brutes'!E:E,"INGRID",'Données brutes'!G:G,"Central 7m 9m appui")</f>
        <v>0</v>
      </c>
      <c r="F307" s="90">
        <f>COUNTIFS('Données brutes'!F:F,"tir raté NC",'Données brutes'!E:E,"INGRID",'Données brutes'!G:G,"ALD")</f>
        <v>0</v>
      </c>
      <c r="G307" s="121"/>
      <c r="H307" s="491" t="s">
        <v>299</v>
      </c>
      <c r="I307" s="32" t="s">
        <v>301</v>
      </c>
      <c r="J307" s="91">
        <f t="shared" si="118"/>
        <v>0</v>
      </c>
      <c r="K307" s="90">
        <f t="shared" si="119"/>
        <v>0</v>
      </c>
      <c r="L307" s="92" t="e">
        <f t="shared" si="120"/>
        <v>#DIV/0!</v>
      </c>
      <c r="M307" s="495" t="s">
        <v>299</v>
      </c>
      <c r="N307" s="319">
        <f>SUM(J307:J309)</f>
        <v>0</v>
      </c>
      <c r="O307" s="319">
        <f>SUM(K307:K309)</f>
        <v>0</v>
      </c>
      <c r="P307" s="322" t="e">
        <f>N307/O307</f>
        <v>#DIV/0!</v>
      </c>
      <c r="Q307" s="62"/>
      <c r="R307" s="62"/>
      <c r="S307" s="491" t="s">
        <v>299</v>
      </c>
      <c r="T307" s="32" t="s">
        <v>301</v>
      </c>
      <c r="U307" s="91">
        <f t="shared" si="121"/>
        <v>0</v>
      </c>
      <c r="V307" s="90">
        <f t="shared" si="122"/>
        <v>0</v>
      </c>
      <c r="W307" s="92" t="e">
        <f t="shared" si="123"/>
        <v>#DIV/0!</v>
      </c>
    </row>
    <row r="308" spans="1:23" ht="15" thickBot="1" x14ac:dyDescent="0.4">
      <c r="A308" s="495"/>
      <c r="B308" s="13" t="s">
        <v>302</v>
      </c>
      <c r="C308" s="153">
        <f>COUNTIFS('Données brutes'!F:F,"But",'Données brutes'!E:E,"INGRID",'Données brutes'!G:G,"7m 9m Ext G appui")</f>
        <v>0</v>
      </c>
      <c r="D308" s="61">
        <f>COUNTIFS('Données brutes'!F:F,"Ar GB",'Données brutes'!E:E,"INGRID",'Données brutes'!G:G,"7m 9m Ext G appui")</f>
        <v>0</v>
      </c>
      <c r="E308" s="61">
        <f>COUNTIFS('Données brutes'!F:F,"HC",'Données brutes'!E:E,"INGRID",'Données brutes'!G:G,"7m 9m Ext G appui")</f>
        <v>0</v>
      </c>
      <c r="F308" s="90">
        <f>COUNTIFS('Données brutes'!F:F,"tir raté NC",'Données brutes'!E:E,"INGRID",'Données brutes'!G:G,"7m 9m Ext G appui")</f>
        <v>0</v>
      </c>
      <c r="G308" s="62"/>
      <c r="H308" s="495"/>
      <c r="I308" s="33" t="s">
        <v>302</v>
      </c>
      <c r="J308" s="91">
        <f t="shared" si="118"/>
        <v>0</v>
      </c>
      <c r="K308" s="90">
        <f t="shared" si="119"/>
        <v>0</v>
      </c>
      <c r="L308" s="92" t="e">
        <f t="shared" si="120"/>
        <v>#DIV/0!</v>
      </c>
      <c r="M308" s="495"/>
      <c r="N308" s="325"/>
      <c r="O308" s="325"/>
      <c r="P308" s="326"/>
      <c r="Q308" s="62"/>
      <c r="R308" s="62"/>
      <c r="S308" s="495"/>
      <c r="T308" s="33" t="s">
        <v>302</v>
      </c>
      <c r="U308" s="91">
        <f t="shared" si="121"/>
        <v>0</v>
      </c>
      <c r="V308" s="90">
        <f t="shared" si="122"/>
        <v>0</v>
      </c>
      <c r="W308" s="92" t="e">
        <f t="shared" si="123"/>
        <v>#DIV/0!</v>
      </c>
    </row>
    <row r="309" spans="1:23" ht="15" thickBot="1" x14ac:dyDescent="0.4">
      <c r="A309" s="492"/>
      <c r="B309" s="36" t="s">
        <v>303</v>
      </c>
      <c r="C309" s="154">
        <f>COUNTIFS('Données brutes'!F:F,"But",'Données brutes'!E:E,"INGRID",'Données brutes'!G:G,"7m 9m Ext D appui")</f>
        <v>0</v>
      </c>
      <c r="D309" s="155">
        <f>COUNTIFS('Données brutes'!F:F,"Ar GB",'Données brutes'!E:E,"INGRID",'Données brutes'!G:G,"7m 9m Ext D appui")</f>
        <v>0</v>
      </c>
      <c r="E309" s="155">
        <f>COUNTIFS('Données brutes'!F:F,"HC",'Données brutes'!E:E,"INGRID",'Données brutes'!G:G,"7m 9m Ext D appui")</f>
        <v>0</v>
      </c>
      <c r="F309" s="90">
        <f>COUNTIFS('Données brutes'!F:F,"tir raté NC",'Données brutes'!E:E,"INGRID",'Données brutes'!G:G,"ALD")</f>
        <v>0</v>
      </c>
      <c r="G309" s="122"/>
      <c r="H309" s="492"/>
      <c r="I309" s="73" t="s">
        <v>303</v>
      </c>
      <c r="J309" s="91">
        <f t="shared" si="118"/>
        <v>0</v>
      </c>
      <c r="K309" s="90">
        <f t="shared" si="119"/>
        <v>0</v>
      </c>
      <c r="L309" s="92" t="e">
        <f t="shared" si="120"/>
        <v>#DIV/0!</v>
      </c>
      <c r="M309" s="495"/>
      <c r="N309" s="325"/>
      <c r="O309" s="325"/>
      <c r="P309" s="326"/>
      <c r="Q309" s="62"/>
      <c r="R309" s="62"/>
      <c r="S309" s="492"/>
      <c r="T309" s="73" t="s">
        <v>303</v>
      </c>
      <c r="U309" s="91">
        <f t="shared" si="121"/>
        <v>0</v>
      </c>
      <c r="V309" s="90">
        <f t="shared" si="122"/>
        <v>0</v>
      </c>
      <c r="W309" s="92" t="e">
        <f t="shared" si="123"/>
        <v>#DIV/0!</v>
      </c>
    </row>
    <row r="310" spans="1:23" ht="15" customHeight="1" thickBot="1" x14ac:dyDescent="0.4">
      <c r="A310" s="493" t="s">
        <v>300</v>
      </c>
      <c r="B310" s="87" t="s">
        <v>304</v>
      </c>
      <c r="C310" s="152">
        <f>COUNTIFS('Données brutes'!F:F,"But",'Données brutes'!E:E,"INGRID",'Données brutes'!G:G,"7m 9m central suspension")</f>
        <v>0</v>
      </c>
      <c r="D310" s="90">
        <f>COUNTIFS('Données brutes'!F:F,"Ar GB",'Données brutes'!E:E,"INGRID",'Données brutes'!G:G,"7m 9m central suspension")</f>
        <v>0</v>
      </c>
      <c r="E310" s="90">
        <f>COUNTIFS('Données brutes'!F:F,"HC",'Données brutes'!E:E,"INGRID",'Données brutes'!G:G,"7m 9m central suspension")</f>
        <v>0</v>
      </c>
      <c r="F310" s="90">
        <f>COUNTIFS('Données brutes'!F:F,"tir raté NC",'Données brutes'!E:E,"INGRID",'Données brutes'!G:G,"ALD")</f>
        <v>0</v>
      </c>
      <c r="G310" s="121"/>
      <c r="H310" s="493" t="s">
        <v>300</v>
      </c>
      <c r="I310" s="32" t="s">
        <v>304</v>
      </c>
      <c r="J310" s="91">
        <f t="shared" si="118"/>
        <v>0</v>
      </c>
      <c r="K310" s="90">
        <f t="shared" si="119"/>
        <v>0</v>
      </c>
      <c r="L310" s="92" t="e">
        <f t="shared" si="120"/>
        <v>#DIV/0!</v>
      </c>
      <c r="M310" s="495" t="s">
        <v>300</v>
      </c>
      <c r="N310" s="319">
        <f>SUM(J310:J312)</f>
        <v>0</v>
      </c>
      <c r="O310" s="319">
        <f>SUM(K310:K312)</f>
        <v>0</v>
      </c>
      <c r="P310" s="322" t="e">
        <f>N310/O310</f>
        <v>#DIV/0!</v>
      </c>
      <c r="Q310" s="62"/>
      <c r="R310" s="62"/>
      <c r="S310" s="493" t="s">
        <v>300</v>
      </c>
      <c r="T310" s="32" t="s">
        <v>304</v>
      </c>
      <c r="U310" s="91">
        <f t="shared" si="121"/>
        <v>0</v>
      </c>
      <c r="V310" s="90">
        <f t="shared" si="122"/>
        <v>0</v>
      </c>
      <c r="W310" s="92" t="e">
        <f t="shared" si="123"/>
        <v>#DIV/0!</v>
      </c>
    </row>
    <row r="311" spans="1:23" ht="15" thickBot="1" x14ac:dyDescent="0.4">
      <c r="A311" s="506"/>
      <c r="B311" s="13" t="s">
        <v>305</v>
      </c>
      <c r="C311" s="153">
        <f>COUNTIFS('Données brutes'!F:F,"But",'Données brutes'!E:E,"INGRID",'Données brutes'!G:G,"7m 9m Ext G suspension")</f>
        <v>0</v>
      </c>
      <c r="D311" s="61">
        <f>COUNTIFS('Données brutes'!F:F,"Ar GB",'Données brutes'!E:E,"INGRID",'Données brutes'!G:G,"7m 9m Ext G suspension")</f>
        <v>0</v>
      </c>
      <c r="E311" s="61">
        <f>COUNTIFS('Données brutes'!F:F,"HC",'Données brutes'!E:E,"INGRID",'Données brutes'!G:G,"7m 9m Ext G suspension")</f>
        <v>0</v>
      </c>
      <c r="F311" s="90">
        <f>COUNTIFS('Données brutes'!F:F,"tir raté NC",'Données brutes'!E:E,"INGRID",'Données brutes'!G:G,"ALD")</f>
        <v>0</v>
      </c>
      <c r="G311" s="62"/>
      <c r="H311" s="506"/>
      <c r="I311" s="33" t="s">
        <v>305</v>
      </c>
      <c r="J311" s="91">
        <f t="shared" si="118"/>
        <v>0</v>
      </c>
      <c r="K311" s="90">
        <f t="shared" si="119"/>
        <v>0</v>
      </c>
      <c r="L311" s="92" t="e">
        <f t="shared" si="120"/>
        <v>#DIV/0!</v>
      </c>
      <c r="M311" s="495"/>
      <c r="N311" s="325"/>
      <c r="O311" s="325"/>
      <c r="P311" s="326"/>
      <c r="Q311" s="62"/>
      <c r="R311" s="62"/>
      <c r="S311" s="506"/>
      <c r="T311" s="33" t="s">
        <v>305</v>
      </c>
      <c r="U311" s="91">
        <f t="shared" si="121"/>
        <v>0</v>
      </c>
      <c r="V311" s="90">
        <f t="shared" si="122"/>
        <v>0</v>
      </c>
      <c r="W311" s="92" t="e">
        <f t="shared" si="123"/>
        <v>#DIV/0!</v>
      </c>
    </row>
    <row r="312" spans="1:23" ht="15" thickBot="1" x14ac:dyDescent="0.4">
      <c r="A312" s="494"/>
      <c r="B312" s="36" t="s">
        <v>306</v>
      </c>
      <c r="C312" s="153">
        <f>COUNTIFS('Données brutes'!F:F,"But",'Données brutes'!E:E,"INGRID",'Données brutes'!G:G,"7m 9m Ext D suspension")</f>
        <v>0</v>
      </c>
      <c r="D312" s="61">
        <f>COUNTIFS('Données brutes'!F:F,"Ar GB",'Données brutes'!E:E,"INGRID",'Données brutes'!G:G,"7m 9m Ext D suspension")</f>
        <v>0</v>
      </c>
      <c r="E312" s="61">
        <f>COUNTIFS('Données brutes'!F:F,"HC",'Données brutes'!E:E,"INGRID",'Données brutes'!G:G,"7m 9m Ext D suspension")</f>
        <v>0</v>
      </c>
      <c r="F312" s="90">
        <f>COUNTIFS('Données brutes'!F:F,"tir raté NC",'Données brutes'!E:E,"INGRID",'Données brutes'!G:G,"7m 9m Ext D suspension")</f>
        <v>0</v>
      </c>
      <c r="G312" s="122"/>
      <c r="H312" s="494"/>
      <c r="I312" s="73" t="s">
        <v>306</v>
      </c>
      <c r="J312" s="91">
        <f t="shared" si="118"/>
        <v>0</v>
      </c>
      <c r="K312" s="90">
        <f t="shared" si="119"/>
        <v>0</v>
      </c>
      <c r="L312" s="92" t="e">
        <f t="shared" si="120"/>
        <v>#DIV/0!</v>
      </c>
      <c r="M312" s="495"/>
      <c r="N312" s="325"/>
      <c r="O312" s="325"/>
      <c r="P312" s="326"/>
      <c r="Q312" s="62"/>
      <c r="R312" s="62"/>
      <c r="S312" s="494"/>
      <c r="T312" s="73" t="s">
        <v>306</v>
      </c>
      <c r="U312" s="91">
        <f t="shared" si="121"/>
        <v>0</v>
      </c>
      <c r="V312" s="90">
        <f t="shared" si="122"/>
        <v>0</v>
      </c>
      <c r="W312" s="92" t="e">
        <f t="shared" si="123"/>
        <v>#DIV/0!</v>
      </c>
    </row>
    <row r="313" spans="1:23" ht="15" thickBot="1" x14ac:dyDescent="0.4">
      <c r="A313" s="407" t="s">
        <v>146</v>
      </c>
      <c r="B313" s="87" t="s">
        <v>307</v>
      </c>
      <c r="C313" s="152">
        <f>COUNTIFS('Données brutes'!F:F,"But",'Données brutes'!E:E,"INGRID",'Données brutes'!G:G,"9m G")</f>
        <v>0</v>
      </c>
      <c r="D313" s="90">
        <f>COUNTIFS('Données brutes'!F:F,"Ar GB",'Données brutes'!E:E,"INGRID",'Données brutes'!G:G,"9m G")</f>
        <v>0</v>
      </c>
      <c r="E313" s="90">
        <f>COUNTIFS('Données brutes'!F:F,"HC",'Données brutes'!E:E,"INGRID",'Données brutes'!G:G,"9m G")</f>
        <v>1</v>
      </c>
      <c r="F313" s="90">
        <f>COUNTIFS('Données brutes'!F:F,"tir raté NC",'Données brutes'!E:E,"INGRID",'Données brutes'!G:G,"9m G")</f>
        <v>0</v>
      </c>
      <c r="G313" s="121"/>
      <c r="H313" s="407" t="s">
        <v>146</v>
      </c>
      <c r="I313" s="32" t="s">
        <v>307</v>
      </c>
      <c r="J313" s="91">
        <f t="shared" si="118"/>
        <v>0</v>
      </c>
      <c r="K313" s="90">
        <f t="shared" si="119"/>
        <v>1</v>
      </c>
      <c r="L313" s="92">
        <f t="shared" si="120"/>
        <v>0</v>
      </c>
      <c r="M313" s="404" t="s">
        <v>146</v>
      </c>
      <c r="N313" s="319">
        <f>SUM(J313:J315)</f>
        <v>0</v>
      </c>
      <c r="O313" s="319">
        <f>SUM(K313:K315)</f>
        <v>1</v>
      </c>
      <c r="P313" s="322">
        <f>N313/O313</f>
        <v>0</v>
      </c>
      <c r="Q313" s="62"/>
      <c r="R313" s="62"/>
      <c r="S313" s="407" t="s">
        <v>146</v>
      </c>
      <c r="T313" s="32" t="s">
        <v>307</v>
      </c>
      <c r="U313" s="91">
        <f t="shared" si="121"/>
        <v>0</v>
      </c>
      <c r="V313" s="90">
        <f t="shared" si="122"/>
        <v>0.25</v>
      </c>
      <c r="W313" s="92">
        <f t="shared" si="123"/>
        <v>0</v>
      </c>
    </row>
    <row r="314" spans="1:23" ht="15" thickBot="1" x14ac:dyDescent="0.4">
      <c r="A314" s="404"/>
      <c r="B314" s="13" t="s">
        <v>308</v>
      </c>
      <c r="C314" s="152">
        <f>COUNTIFS('Données brutes'!F:F,"But",'Données brutes'!E:E,"INGRID",'Données brutes'!G:G,"9m +")</f>
        <v>0</v>
      </c>
      <c r="D314" s="90">
        <f>COUNTIFS('Données brutes'!F:F,"Ar GB",'Données brutes'!E:E,"INGRID",'Données brutes'!G:G,"9m +")</f>
        <v>0</v>
      </c>
      <c r="E314" s="90">
        <f>COUNTIFS('Données brutes'!F:F,"HC",'Données brutes'!E:E,"INGRID",'Données brutes'!G:G,"9m +")</f>
        <v>0</v>
      </c>
      <c r="F314" s="90">
        <f>COUNTIFS('Données brutes'!F:F,"tir raté NC",'Données brutes'!E:E,"INGRID",'Données brutes'!G:G,"9m +")</f>
        <v>0</v>
      </c>
      <c r="G314" s="62"/>
      <c r="H314" s="404"/>
      <c r="I314" s="33" t="s">
        <v>308</v>
      </c>
      <c r="J314" s="91">
        <f t="shared" si="118"/>
        <v>0</v>
      </c>
      <c r="K314" s="90">
        <f t="shared" si="119"/>
        <v>0</v>
      </c>
      <c r="L314" s="92" t="e">
        <f t="shared" si="120"/>
        <v>#DIV/0!</v>
      </c>
      <c r="M314" s="404"/>
      <c r="N314" s="325"/>
      <c r="O314" s="325"/>
      <c r="P314" s="326"/>
      <c r="Q314" s="62"/>
      <c r="R314" s="62"/>
      <c r="S314" s="404"/>
      <c r="T314" s="33" t="s">
        <v>308</v>
      </c>
      <c r="U314" s="91">
        <f t="shared" si="121"/>
        <v>0</v>
      </c>
      <c r="V314" s="90">
        <f t="shared" si="122"/>
        <v>0</v>
      </c>
      <c r="W314" s="92" t="e">
        <f t="shared" si="123"/>
        <v>#DIV/0!</v>
      </c>
    </row>
    <row r="315" spans="1:23" ht="15" thickBot="1" x14ac:dyDescent="0.4">
      <c r="A315" s="490"/>
      <c r="B315" s="36" t="s">
        <v>309</v>
      </c>
      <c r="C315" s="152">
        <f>COUNTIFS('Données brutes'!F:F,"But",'Données brutes'!E:E,"INGRID",'Données brutes'!G:G,"9m D")</f>
        <v>0</v>
      </c>
      <c r="D315" s="90">
        <f>COUNTIFS('Données brutes'!F:F,"Ar GB",'Données brutes'!E:E,"INGRID",'Données brutes'!G:G,"9m D")</f>
        <v>0</v>
      </c>
      <c r="E315" s="90">
        <f>COUNTIFS('Données brutes'!F:F,"HC",'Données brutes'!E:E,"INGRID",'Données brutes'!G:G,"9m D")</f>
        <v>0</v>
      </c>
      <c r="F315" s="90">
        <f>COUNTIFS('Données brutes'!F:F,"tir raté NC",'Données brutes'!E:E,"INGRID",'Données brutes'!G:G,"9m D")</f>
        <v>0</v>
      </c>
      <c r="G315" s="122"/>
      <c r="H315" s="490"/>
      <c r="I315" s="73" t="s">
        <v>309</v>
      </c>
      <c r="J315" s="91">
        <f t="shared" si="118"/>
        <v>0</v>
      </c>
      <c r="K315" s="90">
        <f t="shared" si="119"/>
        <v>0</v>
      </c>
      <c r="L315" s="92" t="e">
        <f t="shared" si="120"/>
        <v>#DIV/0!</v>
      </c>
      <c r="M315" s="404"/>
      <c r="N315" s="325"/>
      <c r="O315" s="325"/>
      <c r="P315" s="326"/>
      <c r="Q315" s="62"/>
      <c r="R315" s="62"/>
      <c r="S315" s="490"/>
      <c r="T315" s="73" t="s">
        <v>309</v>
      </c>
      <c r="U315" s="91">
        <f t="shared" si="121"/>
        <v>0</v>
      </c>
      <c r="V315" s="90">
        <f t="shared" si="122"/>
        <v>0</v>
      </c>
      <c r="W315" s="92" t="e">
        <f t="shared" si="123"/>
        <v>#DIV/0!</v>
      </c>
    </row>
    <row r="316" spans="1:23" ht="15" customHeight="1" thickBot="1" x14ac:dyDescent="0.4">
      <c r="A316" s="493" t="s">
        <v>310</v>
      </c>
      <c r="B316" s="87" t="s">
        <v>22</v>
      </c>
      <c r="C316" s="152">
        <f>COUNTIFS('Données brutes'!F:F,"But",'Données brutes'!E:E,"INGRID",'Données brutes'!G:G,"But vide")</f>
        <v>0</v>
      </c>
      <c r="D316" s="90">
        <f>COUNTIFS('Données brutes'!F:F,"Ar GB",'Données brutes'!E:E,"INGRID",'Données brutes'!G:G,"But vide")</f>
        <v>0</v>
      </c>
      <c r="E316" s="90">
        <f>COUNTIFS('Données brutes'!F:F,"HC",'Données brutes'!E:E,"INGRID",'Données brutes'!G:G,"But vide")</f>
        <v>0</v>
      </c>
      <c r="F316" s="90">
        <f>COUNTIFS('Données brutes'!F:F,"tir raté NC",'Données brutes'!E:E,"INGRID",'Données brutes'!G:G,"But vide")</f>
        <v>0</v>
      </c>
      <c r="G316" s="121"/>
      <c r="H316" s="493" t="s">
        <v>310</v>
      </c>
      <c r="I316" s="32" t="s">
        <v>22</v>
      </c>
      <c r="J316" s="91">
        <f t="shared" si="118"/>
        <v>0</v>
      </c>
      <c r="K316" s="90">
        <f t="shared" si="119"/>
        <v>0</v>
      </c>
      <c r="L316" s="92" t="e">
        <f t="shared" si="120"/>
        <v>#DIV/0!</v>
      </c>
      <c r="M316" s="495" t="s">
        <v>310</v>
      </c>
      <c r="N316" s="319">
        <f>J316+J317</f>
        <v>0</v>
      </c>
      <c r="O316" s="319">
        <f>K316+K317</f>
        <v>0</v>
      </c>
      <c r="P316" s="322" t="e">
        <f>N316/O316</f>
        <v>#DIV/0!</v>
      </c>
      <c r="Q316" s="62"/>
      <c r="R316" s="62"/>
      <c r="S316" s="493" t="s">
        <v>310</v>
      </c>
      <c r="T316" s="32" t="s">
        <v>22</v>
      </c>
      <c r="U316" s="91">
        <f t="shared" si="121"/>
        <v>0</v>
      </c>
      <c r="V316" s="90">
        <f t="shared" si="122"/>
        <v>0</v>
      </c>
      <c r="W316" s="92" t="e">
        <f t="shared" si="123"/>
        <v>#DIV/0!</v>
      </c>
    </row>
    <row r="317" spans="1:23" ht="15" thickBot="1" x14ac:dyDescent="0.4">
      <c r="A317" s="494"/>
      <c r="B317" s="36" t="s">
        <v>12</v>
      </c>
      <c r="C317" s="152">
        <f>COUNTIFS('Données brutes'!F:F,"But",'Données brutes'!E:E,"INGRID",'Données brutes'!G:G,"CA MB")</f>
        <v>0</v>
      </c>
      <c r="D317" s="90">
        <f>COUNTIFS('Données brutes'!F:F,"Ar GB",'Données brutes'!E:E,"INGRID",'Données brutes'!G:G,"CA MB")</f>
        <v>0</v>
      </c>
      <c r="E317" s="90">
        <f>COUNTIFS('Données brutes'!F:F,"HC",'Données brutes'!E:E,"INGRID",'Données brutes'!G:G,"CA MB")</f>
        <v>0</v>
      </c>
      <c r="F317" s="90">
        <f>COUNTIFS('Données brutes'!F:F,"tir raté NC",'Données brutes'!E:E,"INGRID",'Données brutes'!G:G,"CA MB")</f>
        <v>0</v>
      </c>
      <c r="G317" s="122"/>
      <c r="H317" s="494"/>
      <c r="I317" s="73" t="s">
        <v>12</v>
      </c>
      <c r="J317" s="91">
        <f t="shared" si="118"/>
        <v>0</v>
      </c>
      <c r="K317" s="90">
        <f t="shared" si="119"/>
        <v>0</v>
      </c>
      <c r="L317" s="92" t="e">
        <f t="shared" si="120"/>
        <v>#DIV/0!</v>
      </c>
      <c r="M317" s="495"/>
      <c r="N317" s="325"/>
      <c r="O317" s="325"/>
      <c r="P317" s="326"/>
      <c r="Q317" s="62"/>
      <c r="R317" s="62"/>
      <c r="S317" s="494"/>
      <c r="T317" s="73" t="s">
        <v>12</v>
      </c>
      <c r="U317" s="91">
        <f t="shared" si="121"/>
        <v>0</v>
      </c>
      <c r="V317" s="90">
        <f t="shared" si="122"/>
        <v>0</v>
      </c>
      <c r="W317" s="92" t="e">
        <f t="shared" si="123"/>
        <v>#DIV/0!</v>
      </c>
    </row>
    <row r="318" spans="1:23" ht="15" thickBot="1" x14ac:dyDescent="0.4">
      <c r="A318" s="488" t="s">
        <v>311</v>
      </c>
      <c r="B318" s="507"/>
      <c r="C318" s="156">
        <f>SUM(C300:C317)</f>
        <v>0</v>
      </c>
      <c r="D318" s="157">
        <f t="shared" ref="D318:E318" si="124">SUM(D300:D317)</f>
        <v>0</v>
      </c>
      <c r="E318" s="157">
        <f t="shared" si="124"/>
        <v>1</v>
      </c>
      <c r="F318" s="157">
        <f>SUM(F300:F313)</f>
        <v>0</v>
      </c>
      <c r="G318" s="123"/>
      <c r="H318" s="488" t="s">
        <v>311</v>
      </c>
      <c r="I318" s="489"/>
      <c r="J318" s="91">
        <f t="shared" si="118"/>
        <v>0</v>
      </c>
      <c r="K318" s="90">
        <f t="shared" si="119"/>
        <v>1</v>
      </c>
      <c r="L318" s="92">
        <f t="shared" si="120"/>
        <v>0</v>
      </c>
      <c r="M318" s="324"/>
      <c r="N318" s="325"/>
      <c r="O318" s="325"/>
      <c r="P318" s="326"/>
      <c r="Q318" s="62"/>
      <c r="R318" s="62"/>
      <c r="S318" s="488" t="s">
        <v>311</v>
      </c>
      <c r="T318" s="489"/>
      <c r="U318" s="91">
        <f t="shared" si="121"/>
        <v>0</v>
      </c>
      <c r="V318" s="90">
        <f t="shared" si="122"/>
        <v>0.25</v>
      </c>
      <c r="W318" s="92">
        <f t="shared" si="123"/>
        <v>0</v>
      </c>
    </row>
    <row r="319" spans="1:23" ht="15" thickBot="1" x14ac:dyDescent="0.4">
      <c r="A319" s="94"/>
      <c r="B319" s="87" t="s">
        <v>59</v>
      </c>
      <c r="C319" s="152">
        <f>COUNTIFS('Données brutes'!F:F,"But",'Données brutes'!E:E,"INGRID",'Données brutes'!G:G,"Jet 7m")</f>
        <v>0</v>
      </c>
      <c r="D319" s="90">
        <f>COUNTIFS('Données brutes'!F:F,"Ar GB",'Données brutes'!E:E,"INGRID",'Données brutes'!G:G,"Jet 7m")</f>
        <v>0</v>
      </c>
      <c r="E319" s="90">
        <f>COUNTIFS('Données brutes'!F:F,"HC",'Données brutes'!E:E,"INGRID",'Données brutes'!G:G,"Jet 7m")</f>
        <v>0</v>
      </c>
      <c r="F319" s="90">
        <f>COUNTIFS('Données brutes'!F:F,"tir raté NC",'Données brutes'!E:E,"INGRID",'Données brutes'!G:G,"Jet 7m")</f>
        <v>0</v>
      </c>
      <c r="G319" s="508"/>
      <c r="H319" s="94"/>
      <c r="I319" s="32" t="s">
        <v>59</v>
      </c>
      <c r="J319" s="91">
        <f t="shared" si="118"/>
        <v>0</v>
      </c>
      <c r="K319" s="90">
        <f t="shared" si="119"/>
        <v>0</v>
      </c>
      <c r="L319" s="92" t="e">
        <f t="shared" si="120"/>
        <v>#DIV/0!</v>
      </c>
      <c r="M319" s="324"/>
      <c r="N319" s="325"/>
      <c r="O319" s="325"/>
      <c r="P319" s="326"/>
      <c r="Q319" s="62"/>
      <c r="R319" s="62"/>
      <c r="S319" s="94"/>
      <c r="T319" s="32" t="s">
        <v>59</v>
      </c>
      <c r="U319" s="91">
        <f t="shared" si="121"/>
        <v>0</v>
      </c>
      <c r="V319" s="90">
        <f t="shared" si="122"/>
        <v>0</v>
      </c>
      <c r="W319" s="92" t="e">
        <f t="shared" si="123"/>
        <v>#DIV/0!</v>
      </c>
    </row>
    <row r="320" spans="1:23" ht="15" thickBot="1" x14ac:dyDescent="0.4">
      <c r="A320" s="490" t="s">
        <v>312</v>
      </c>
      <c r="B320" s="510"/>
      <c r="C320" s="156">
        <f>C318+C319</f>
        <v>0</v>
      </c>
      <c r="D320" s="156">
        <f t="shared" ref="D320" si="125">D318+D319</f>
        <v>0</v>
      </c>
      <c r="E320" s="156">
        <f t="shared" ref="E320" si="126">E318+E319</f>
        <v>1</v>
      </c>
      <c r="F320" s="156">
        <f t="shared" ref="F320" si="127">F318+F319</f>
        <v>0</v>
      </c>
      <c r="G320" s="509"/>
      <c r="H320" s="490" t="s">
        <v>312</v>
      </c>
      <c r="I320" s="511"/>
      <c r="J320" s="91">
        <f t="shared" si="118"/>
        <v>0</v>
      </c>
      <c r="K320" s="90">
        <f t="shared" si="119"/>
        <v>1</v>
      </c>
      <c r="L320" s="92">
        <f t="shared" si="120"/>
        <v>0</v>
      </c>
      <c r="M320" s="327"/>
      <c r="N320" s="328"/>
      <c r="O320" s="328"/>
      <c r="P320" s="329"/>
      <c r="Q320" s="122"/>
      <c r="R320" s="122"/>
      <c r="S320" s="490" t="s">
        <v>312</v>
      </c>
      <c r="T320" s="511"/>
      <c r="U320" s="91">
        <f t="shared" si="121"/>
        <v>0</v>
      </c>
      <c r="V320" s="90">
        <f t="shared" si="122"/>
        <v>0.25</v>
      </c>
      <c r="W320" s="92">
        <f t="shared" si="123"/>
        <v>0</v>
      </c>
    </row>
    <row r="322" spans="1:23" ht="15" thickBot="1" x14ac:dyDescent="0.4"/>
    <row r="323" spans="1:23" ht="26.5" thickBot="1" x14ac:dyDescent="0.4">
      <c r="A323" s="514" t="s">
        <v>428</v>
      </c>
      <c r="B323" s="515"/>
      <c r="C323" s="515"/>
      <c r="D323" s="515"/>
      <c r="E323" s="515"/>
      <c r="F323" s="515"/>
      <c r="G323" s="121"/>
      <c r="H323" s="425" t="s">
        <v>333</v>
      </c>
      <c r="I323" s="425"/>
      <c r="J323" s="425"/>
      <c r="K323" s="425"/>
      <c r="L323" s="425"/>
      <c r="M323" s="309"/>
      <c r="N323" s="309"/>
      <c r="O323" s="309"/>
      <c r="P323" s="309"/>
      <c r="Q323" s="121"/>
      <c r="R323" s="124" t="s">
        <v>335</v>
      </c>
      <c r="S323" s="425" t="s">
        <v>334</v>
      </c>
      <c r="T323" s="425"/>
      <c r="U323" s="425"/>
      <c r="V323" s="425"/>
      <c r="W323" s="426"/>
    </row>
    <row r="324" spans="1:23" ht="29.5" thickBot="1" x14ac:dyDescent="0.4">
      <c r="A324" s="403" t="s">
        <v>5</v>
      </c>
      <c r="B324" s="512"/>
      <c r="C324" s="118" t="s">
        <v>33</v>
      </c>
      <c r="D324" s="118" t="s">
        <v>20</v>
      </c>
      <c r="E324" s="118" t="s">
        <v>10</v>
      </c>
      <c r="F324" s="118" t="s">
        <v>277</v>
      </c>
      <c r="G324" s="62"/>
      <c r="H324" s="513" t="s">
        <v>5</v>
      </c>
      <c r="I324" s="421"/>
      <c r="J324" s="93" t="s">
        <v>33</v>
      </c>
      <c r="K324" s="119" t="s">
        <v>326</v>
      </c>
      <c r="L324" s="120" t="s">
        <v>150</v>
      </c>
      <c r="M324" s="310"/>
      <c r="N324" s="320" t="s">
        <v>33</v>
      </c>
      <c r="O324" s="320" t="s">
        <v>326</v>
      </c>
      <c r="P324" s="321" t="s">
        <v>150</v>
      </c>
      <c r="Q324" s="62"/>
      <c r="R324" s="125">
        <f>'Matchs joués'!B18</f>
        <v>4</v>
      </c>
      <c r="S324" s="513" t="s">
        <v>5</v>
      </c>
      <c r="T324" s="421"/>
      <c r="U324" s="93" t="s">
        <v>33</v>
      </c>
      <c r="V324" s="119" t="s">
        <v>326</v>
      </c>
      <c r="W324" s="120" t="s">
        <v>150</v>
      </c>
    </row>
    <row r="325" spans="1:23" ht="15" thickBot="1" x14ac:dyDescent="0.4">
      <c r="A325" s="407" t="s">
        <v>295</v>
      </c>
      <c r="B325" s="87" t="s">
        <v>15</v>
      </c>
      <c r="C325" s="152">
        <f>COUNTIFS('Données brutes'!F:F,"But",'Données brutes'!E:E,"LAURA LYNE",'Données brutes'!G:G,"ALG")</f>
        <v>0</v>
      </c>
      <c r="D325" s="90">
        <f>COUNTIFS('Données brutes'!F:F,"Ar GB",'Données brutes'!E:E,"LAURA LYNE",'Données brutes'!G:G,"ALG")</f>
        <v>0</v>
      </c>
      <c r="E325" s="90">
        <f>COUNTIFS('Données brutes'!F:F,"HC",'Données brutes'!E:E,"LAURA LYNE",'Données brutes'!G:G,"ALG")</f>
        <v>0</v>
      </c>
      <c r="F325" s="90">
        <f>COUNTIFS('Données brutes'!F:F,"tir raté NC",'Données brutes'!E:E,"LAURA LYNE",'Données brutes'!G:G,"ALG")</f>
        <v>0</v>
      </c>
      <c r="G325" s="121"/>
      <c r="H325" s="407" t="s">
        <v>295</v>
      </c>
      <c r="I325" s="32" t="s">
        <v>15</v>
      </c>
      <c r="J325" s="91">
        <f>$C325</f>
        <v>0</v>
      </c>
      <c r="K325" s="90">
        <f>$C325+$D325+$E325</f>
        <v>0</v>
      </c>
      <c r="L325" s="92" t="e">
        <f>J325/K325</f>
        <v>#DIV/0!</v>
      </c>
      <c r="M325" s="404" t="s">
        <v>295</v>
      </c>
      <c r="N325" s="496" t="s">
        <v>394</v>
      </c>
      <c r="O325" s="496"/>
      <c r="P325" s="497"/>
      <c r="Q325" s="62"/>
      <c r="R325" s="62"/>
      <c r="S325" s="407" t="s">
        <v>295</v>
      </c>
      <c r="T325" s="32" t="s">
        <v>15</v>
      </c>
      <c r="U325" s="91">
        <f>$J325/$R$2</f>
        <v>0</v>
      </c>
      <c r="V325" s="90">
        <f>$K325/$R$2</f>
        <v>0</v>
      </c>
      <c r="W325" s="92" t="e">
        <f>U325/V325</f>
        <v>#DIV/0!</v>
      </c>
    </row>
    <row r="326" spans="1:23" ht="15" thickBot="1" x14ac:dyDescent="0.4">
      <c r="A326" s="404"/>
      <c r="B326" s="13" t="s">
        <v>282</v>
      </c>
      <c r="C326" s="153">
        <f>COUNTIFS('Données brutes'!F:F,"But",'Données brutes'!E:E,"LAURA LYNE",'Données brutes'!G:G,"1 2")</f>
        <v>0</v>
      </c>
      <c r="D326" s="61">
        <f>COUNTIFS('Données brutes'!F:F,"Ar GB",'Données brutes'!E:E,"LAURA LYNE",'Données brutes'!G:G,"1 2")</f>
        <v>0</v>
      </c>
      <c r="E326" s="61">
        <f>COUNTIFS('Données brutes'!F:F,"HC",'Données brutes'!E:E,"LAURA LYNE",'Données brutes'!G:G,"1 2")</f>
        <v>0</v>
      </c>
      <c r="F326" s="90">
        <f>COUNTIFS('Données brutes'!F:F,"tir raté NC",'Données brutes'!E:E,"LAURA LYNE",'Données brutes'!G:G,"1 2")</f>
        <v>0</v>
      </c>
      <c r="G326" s="62"/>
      <c r="H326" s="404"/>
      <c r="I326" s="33" t="s">
        <v>282</v>
      </c>
      <c r="J326" s="91">
        <f t="shared" ref="J326:J345" si="128">$C326</f>
        <v>0</v>
      </c>
      <c r="K326" s="90">
        <f t="shared" ref="K326:K345" si="129">$C326+$D326+$E326</f>
        <v>0</v>
      </c>
      <c r="L326" s="92" t="e">
        <f t="shared" ref="L326:L345" si="130">J326/K326</f>
        <v>#DIV/0!</v>
      </c>
      <c r="M326" s="404"/>
      <c r="N326" s="319">
        <f>J325+J331</f>
        <v>0</v>
      </c>
      <c r="O326" s="319">
        <f>K325+K331</f>
        <v>0</v>
      </c>
      <c r="P326" s="322" t="e">
        <f>N326/O326</f>
        <v>#DIV/0!</v>
      </c>
      <c r="Q326" s="62"/>
      <c r="R326" s="62"/>
      <c r="S326" s="404"/>
      <c r="T326" s="33" t="s">
        <v>282</v>
      </c>
      <c r="U326" s="91">
        <f t="shared" ref="U326:U345" si="131">$J326/$R$2</f>
        <v>0</v>
      </c>
      <c r="V326" s="90">
        <f t="shared" ref="V326:V345" si="132">$K326/$R$2</f>
        <v>0</v>
      </c>
      <c r="W326" s="92" t="e">
        <f t="shared" ref="W326:W345" si="133">U326/V326</f>
        <v>#DIV/0!</v>
      </c>
    </row>
    <row r="327" spans="1:23" ht="15" thickBot="1" x14ac:dyDescent="0.4">
      <c r="A327" s="404"/>
      <c r="B327" s="13" t="s">
        <v>297</v>
      </c>
      <c r="C327" s="153">
        <f>COUNTIFS('Données brutes'!F:F,"But",'Données brutes'!E:E,"LAURA LYNE",'Données brutes'!G:G,"2 3")</f>
        <v>0</v>
      </c>
      <c r="D327" s="61">
        <f>COUNTIFS('Données brutes'!F:F,"Ar GB",'Données brutes'!E:E,"LAURA LYNE",'Données brutes'!G:G,"2 3")</f>
        <v>0</v>
      </c>
      <c r="E327" s="61">
        <f>COUNTIFS('Données brutes'!F:F,"HC",'Données brutes'!E:E,"LAURA LYNE",'Données brutes'!G:G,"2 3")</f>
        <v>0</v>
      </c>
      <c r="F327" s="90">
        <f>COUNTIFS('Données brutes'!F:F,"tir raté NC",'Données brutes'!E:E,"LAURA LYNE",'Données brutes'!G:G,"2 3")</f>
        <v>0</v>
      </c>
      <c r="G327" s="62"/>
      <c r="H327" s="404"/>
      <c r="I327" s="33" t="s">
        <v>297</v>
      </c>
      <c r="J327" s="91">
        <f t="shared" si="128"/>
        <v>0</v>
      </c>
      <c r="K327" s="90">
        <f t="shared" si="129"/>
        <v>0</v>
      </c>
      <c r="L327" s="92" t="e">
        <f t="shared" si="130"/>
        <v>#DIV/0!</v>
      </c>
      <c r="M327" s="404"/>
      <c r="N327" s="498" t="s">
        <v>395</v>
      </c>
      <c r="O327" s="498"/>
      <c r="P327" s="499"/>
      <c r="Q327" s="62"/>
      <c r="R327" s="62"/>
      <c r="S327" s="404"/>
      <c r="T327" s="33" t="s">
        <v>297</v>
      </c>
      <c r="U327" s="91">
        <f t="shared" si="131"/>
        <v>0</v>
      </c>
      <c r="V327" s="90">
        <f t="shared" si="132"/>
        <v>0</v>
      </c>
      <c r="W327" s="92" t="e">
        <f t="shared" si="133"/>
        <v>#DIV/0!</v>
      </c>
    </row>
    <row r="328" spans="1:23" ht="15" thickBot="1" x14ac:dyDescent="0.4">
      <c r="A328" s="404"/>
      <c r="B328" s="13" t="s">
        <v>296</v>
      </c>
      <c r="C328" s="153">
        <f>COUNTIFS('Données brutes'!F:F,"But",'Données brutes'!E:E,"LAURA LYNE",'Données brutes'!G:G,"3 4")</f>
        <v>2</v>
      </c>
      <c r="D328" s="61">
        <f>COUNTIFS('Données brutes'!F:F,"Ar GB",'Données brutes'!E:E,"LAURA LYNE",'Données brutes'!G:G,"3 4")</f>
        <v>1</v>
      </c>
      <c r="E328" s="61">
        <f>COUNTIFS('Données brutes'!F:F,"HC",'Données brutes'!E:E,"LAURA LYNE",'Données brutes'!G:G,"3 4")</f>
        <v>0</v>
      </c>
      <c r="F328" s="90">
        <f>COUNTIFS('Données brutes'!F:F,"tir raté NC",'Données brutes'!E:E,"LAURA LYNE",'Données brutes'!G:G,"3 4")</f>
        <v>0</v>
      </c>
      <c r="G328" s="62"/>
      <c r="H328" s="404"/>
      <c r="I328" s="33" t="s">
        <v>296</v>
      </c>
      <c r="J328" s="91">
        <f t="shared" si="128"/>
        <v>2</v>
      </c>
      <c r="K328" s="90">
        <f t="shared" si="129"/>
        <v>3</v>
      </c>
      <c r="L328" s="92">
        <f t="shared" si="130"/>
        <v>0.66666666666666663</v>
      </c>
      <c r="M328" s="404"/>
      <c r="N328" s="319">
        <f>J326+J330</f>
        <v>0</v>
      </c>
      <c r="O328" s="319">
        <f>K326+K330</f>
        <v>0</v>
      </c>
      <c r="P328" s="323" t="e">
        <f>N328/O328</f>
        <v>#DIV/0!</v>
      </c>
      <c r="Q328" s="62"/>
      <c r="R328" s="62"/>
      <c r="S328" s="404"/>
      <c r="T328" s="33" t="s">
        <v>296</v>
      </c>
      <c r="U328" s="91">
        <f t="shared" si="131"/>
        <v>0.5</v>
      </c>
      <c r="V328" s="90">
        <f t="shared" si="132"/>
        <v>0.75</v>
      </c>
      <c r="W328" s="92">
        <f t="shared" si="133"/>
        <v>0.66666666666666663</v>
      </c>
    </row>
    <row r="329" spans="1:23" ht="15" thickBot="1" x14ac:dyDescent="0.4">
      <c r="A329" s="404"/>
      <c r="B329" s="13" t="s">
        <v>298</v>
      </c>
      <c r="C329" s="153">
        <f>COUNTIFS('Données brutes'!F:F,"But",'Données brutes'!E:E,"LAURA LYNE",'Données brutes'!G:G,"4 5")</f>
        <v>2</v>
      </c>
      <c r="D329" s="61">
        <f>COUNTIFS('Données brutes'!F:F,"Ar GB",'Données brutes'!E:E,"LAURA LYNE",'Données brutes'!G:G,"4 5")</f>
        <v>0</v>
      </c>
      <c r="E329" s="61">
        <f>COUNTIFS('Données brutes'!F:F,"HC",'Données brutes'!E:E,"LAURA LYNE",'Données brutes'!G:G,"4 5")</f>
        <v>0</v>
      </c>
      <c r="F329" s="90">
        <f>COUNTIFS('Données brutes'!F:F,"tir raté NC",'Données brutes'!E:E,"LAURA LYNE",'Données brutes'!G:G,"4 5")</f>
        <v>0</v>
      </c>
      <c r="G329" s="62"/>
      <c r="H329" s="404"/>
      <c r="I329" s="33" t="s">
        <v>298</v>
      </c>
      <c r="J329" s="91">
        <f t="shared" si="128"/>
        <v>2</v>
      </c>
      <c r="K329" s="90">
        <f t="shared" si="129"/>
        <v>2</v>
      </c>
      <c r="L329" s="92">
        <f t="shared" si="130"/>
        <v>1</v>
      </c>
      <c r="M329" s="404"/>
      <c r="N329" s="498" t="s">
        <v>396</v>
      </c>
      <c r="O329" s="498"/>
      <c r="P329" s="499"/>
      <c r="Q329" s="62"/>
      <c r="R329" s="62"/>
      <c r="S329" s="404"/>
      <c r="T329" s="33" t="s">
        <v>298</v>
      </c>
      <c r="U329" s="91">
        <f t="shared" si="131"/>
        <v>0.5</v>
      </c>
      <c r="V329" s="90">
        <f t="shared" si="132"/>
        <v>0.5</v>
      </c>
      <c r="W329" s="92">
        <f t="shared" si="133"/>
        <v>1</v>
      </c>
    </row>
    <row r="330" spans="1:23" ht="15" thickBot="1" x14ac:dyDescent="0.4">
      <c r="A330" s="404"/>
      <c r="B330" s="13" t="s">
        <v>283</v>
      </c>
      <c r="C330" s="153">
        <f>COUNTIFS('Données brutes'!F:F,"But",'Données brutes'!E:E,"LAURA LYNE",'Données brutes'!G:G,"5 6")</f>
        <v>0</v>
      </c>
      <c r="D330" s="61">
        <f>COUNTIFS('Données brutes'!F:F,"Ar GB",'Données brutes'!E:E,"LAURA LYNE",'Données brutes'!G:G,"5 6")</f>
        <v>0</v>
      </c>
      <c r="E330" s="61">
        <f>COUNTIFS('Données brutes'!F:F,"HC",'Données brutes'!E:E,"LAURA LYNE",'Données brutes'!G:G,"5 6")</f>
        <v>0</v>
      </c>
      <c r="F330" s="90">
        <f>COUNTIFS('Données brutes'!F:F,"tir raté NC",'Données brutes'!E:E,"LAURA LYNE",'Données brutes'!G:G,"5 6")</f>
        <v>0</v>
      </c>
      <c r="G330" s="62"/>
      <c r="H330" s="404"/>
      <c r="I330" s="33" t="s">
        <v>283</v>
      </c>
      <c r="J330" s="91">
        <f t="shared" si="128"/>
        <v>0</v>
      </c>
      <c r="K330" s="90">
        <f t="shared" si="129"/>
        <v>0</v>
      </c>
      <c r="L330" s="92" t="e">
        <f t="shared" si="130"/>
        <v>#DIV/0!</v>
      </c>
      <c r="M330" s="404"/>
      <c r="N330" s="319">
        <f>J327+J328+J329</f>
        <v>4</v>
      </c>
      <c r="O330" s="319">
        <f>K327+K328+K329</f>
        <v>5</v>
      </c>
      <c r="P330" s="323">
        <f>N330/O330</f>
        <v>0.8</v>
      </c>
      <c r="Q330" s="62"/>
      <c r="R330" s="62"/>
      <c r="S330" s="404"/>
      <c r="T330" s="33" t="s">
        <v>283</v>
      </c>
      <c r="U330" s="91">
        <f t="shared" si="131"/>
        <v>0</v>
      </c>
      <c r="V330" s="90">
        <f t="shared" si="132"/>
        <v>0</v>
      </c>
      <c r="W330" s="92" t="e">
        <f t="shared" si="133"/>
        <v>#DIV/0!</v>
      </c>
    </row>
    <row r="331" spans="1:23" ht="15" thickBot="1" x14ac:dyDescent="0.4">
      <c r="A331" s="490"/>
      <c r="B331" s="36" t="s">
        <v>17</v>
      </c>
      <c r="C331" s="154">
        <f>COUNTIFS('Données brutes'!F:F,"But",'Données brutes'!E:E,"LAURA LYNE",'Données brutes'!G:G,"ALD")</f>
        <v>0</v>
      </c>
      <c r="D331" s="155">
        <f>COUNTIFS('Données brutes'!F:F,"Ar GB",'Données brutes'!E:E,"LAURA LYNE",'Données brutes'!G:G,"ALD")</f>
        <v>0</v>
      </c>
      <c r="E331" s="155">
        <f>COUNTIFS('Données brutes'!F:F,"HC",'Données brutes'!E:E,"LAURA LYNE",'Données brutes'!G:G,"ALD")</f>
        <v>0</v>
      </c>
      <c r="F331" s="90">
        <f>COUNTIFS('Données brutes'!F:F,"tir raté NC",'Données brutes'!E:E,"LAURA LYNE",'Données brutes'!G:G,"ALD")</f>
        <v>0</v>
      </c>
      <c r="G331" s="122"/>
      <c r="H331" s="490"/>
      <c r="I331" s="73" t="s">
        <v>17</v>
      </c>
      <c r="J331" s="91">
        <f t="shared" si="128"/>
        <v>0</v>
      </c>
      <c r="K331" s="90">
        <f t="shared" si="129"/>
        <v>0</v>
      </c>
      <c r="L331" s="92" t="e">
        <f t="shared" si="130"/>
        <v>#DIV/0!</v>
      </c>
      <c r="M331" s="404"/>
      <c r="N331" s="325"/>
      <c r="O331" s="325"/>
      <c r="P331" s="326"/>
      <c r="Q331" s="62"/>
      <c r="R331" s="62"/>
      <c r="S331" s="490"/>
      <c r="T331" s="73" t="s">
        <v>17</v>
      </c>
      <c r="U331" s="91">
        <f t="shared" si="131"/>
        <v>0</v>
      </c>
      <c r="V331" s="90">
        <f t="shared" si="132"/>
        <v>0</v>
      </c>
      <c r="W331" s="92" t="e">
        <f t="shared" si="133"/>
        <v>#DIV/0!</v>
      </c>
    </row>
    <row r="332" spans="1:23" ht="15" customHeight="1" thickBot="1" x14ac:dyDescent="0.4">
      <c r="A332" s="491" t="s">
        <v>299</v>
      </c>
      <c r="B332" s="87" t="s">
        <v>301</v>
      </c>
      <c r="C332" s="152">
        <f>COUNTIFS('Données brutes'!F:F,"But",'Données brutes'!E:E,"LAURA LYNE",'Données brutes'!G:G,"Central 7m 9m appui")</f>
        <v>0</v>
      </c>
      <c r="D332" s="90">
        <f>COUNTIFS('Données brutes'!F:F,"Ar GB",'Données brutes'!E:E,"LAURA LYNE",'Données brutes'!G:G,"Central 7m 9m appui")</f>
        <v>0</v>
      </c>
      <c r="E332" s="90">
        <f>COUNTIFS('Données brutes'!F:F,"HC",'Données brutes'!E:E,"LAURA LYNE",'Données brutes'!G:G,"Central 7m 9m appui")</f>
        <v>0</v>
      </c>
      <c r="F332" s="90">
        <f>COUNTIFS('Données brutes'!F:F,"tir raté NC",'Données brutes'!E:E,"LAURA LYNE",'Données brutes'!G:G,"ALD")</f>
        <v>0</v>
      </c>
      <c r="G332" s="121"/>
      <c r="H332" s="491" t="s">
        <v>299</v>
      </c>
      <c r="I332" s="32" t="s">
        <v>301</v>
      </c>
      <c r="J332" s="91">
        <f t="shared" si="128"/>
        <v>0</v>
      </c>
      <c r="K332" s="90">
        <f t="shared" si="129"/>
        <v>0</v>
      </c>
      <c r="L332" s="92" t="e">
        <f t="shared" si="130"/>
        <v>#DIV/0!</v>
      </c>
      <c r="M332" s="495" t="s">
        <v>299</v>
      </c>
      <c r="N332" s="319">
        <f>SUM(J332:J334)</f>
        <v>0</v>
      </c>
      <c r="O332" s="319">
        <f>SUM(K332:K334)</f>
        <v>0</v>
      </c>
      <c r="P332" s="322" t="e">
        <f>N332/O332</f>
        <v>#DIV/0!</v>
      </c>
      <c r="Q332" s="62"/>
      <c r="R332" s="62"/>
      <c r="S332" s="491" t="s">
        <v>299</v>
      </c>
      <c r="T332" s="32" t="s">
        <v>301</v>
      </c>
      <c r="U332" s="91">
        <f t="shared" si="131"/>
        <v>0</v>
      </c>
      <c r="V332" s="90">
        <f t="shared" si="132"/>
        <v>0</v>
      </c>
      <c r="W332" s="92" t="e">
        <f t="shared" si="133"/>
        <v>#DIV/0!</v>
      </c>
    </row>
    <row r="333" spans="1:23" ht="15" thickBot="1" x14ac:dyDescent="0.4">
      <c r="A333" s="495"/>
      <c r="B333" s="13" t="s">
        <v>302</v>
      </c>
      <c r="C333" s="153">
        <f>COUNTIFS('Données brutes'!F:F,"But",'Données brutes'!E:E,"LAURA LYNE",'Données brutes'!G:G,"7m 9m Ext G appui")</f>
        <v>0</v>
      </c>
      <c r="D333" s="61">
        <f>COUNTIFS('Données brutes'!F:F,"Ar GB",'Données brutes'!E:E,"LAURA LYNE",'Données brutes'!G:G,"7m 9m Ext G appui")</f>
        <v>0</v>
      </c>
      <c r="E333" s="61">
        <f>COUNTIFS('Données brutes'!F:F,"HC",'Données brutes'!E:E,"LAURA LYNE",'Données brutes'!G:G,"7m 9m Ext G appui")</f>
        <v>0</v>
      </c>
      <c r="F333" s="90">
        <f>COUNTIFS('Données brutes'!F:F,"tir raté NC",'Données brutes'!E:E,"LAURA LYNE",'Données brutes'!G:G,"7m 9m Ext G appui")</f>
        <v>0</v>
      </c>
      <c r="G333" s="62"/>
      <c r="H333" s="495"/>
      <c r="I333" s="33" t="s">
        <v>302</v>
      </c>
      <c r="J333" s="91">
        <f t="shared" si="128"/>
        <v>0</v>
      </c>
      <c r="K333" s="90">
        <f t="shared" si="129"/>
        <v>0</v>
      </c>
      <c r="L333" s="92" t="e">
        <f t="shared" si="130"/>
        <v>#DIV/0!</v>
      </c>
      <c r="M333" s="495"/>
      <c r="N333" s="325"/>
      <c r="O333" s="325"/>
      <c r="P333" s="326"/>
      <c r="Q333" s="62"/>
      <c r="R333" s="62"/>
      <c r="S333" s="495"/>
      <c r="T333" s="33" t="s">
        <v>302</v>
      </c>
      <c r="U333" s="91">
        <f t="shared" si="131"/>
        <v>0</v>
      </c>
      <c r="V333" s="90">
        <f t="shared" si="132"/>
        <v>0</v>
      </c>
      <c r="W333" s="92" t="e">
        <f t="shared" si="133"/>
        <v>#DIV/0!</v>
      </c>
    </row>
    <row r="334" spans="1:23" ht="15" thickBot="1" x14ac:dyDescent="0.4">
      <c r="A334" s="492"/>
      <c r="B334" s="36" t="s">
        <v>303</v>
      </c>
      <c r="C334" s="154">
        <f>COUNTIFS('Données brutes'!F:F,"But",'Données brutes'!E:E,"LAURA LYNE",'Données brutes'!G:G,"7m 9m Ext D appui")</f>
        <v>0</v>
      </c>
      <c r="D334" s="155">
        <f>COUNTIFS('Données brutes'!F:F,"Ar GB",'Données brutes'!E:E,"LAURA LYNE",'Données brutes'!G:G,"7m 9m Ext D appui")</f>
        <v>0</v>
      </c>
      <c r="E334" s="155">
        <f>COUNTIFS('Données brutes'!F:F,"HC",'Données brutes'!E:E,"LAURA LYNE",'Données brutes'!G:G,"7m 9m Ext D appui")</f>
        <v>0</v>
      </c>
      <c r="F334" s="90">
        <f>COUNTIFS('Données brutes'!F:F,"tir raté NC",'Données brutes'!E:E,"LAURA LYNE",'Données brutes'!G:G,"ALD")</f>
        <v>0</v>
      </c>
      <c r="G334" s="122"/>
      <c r="H334" s="492"/>
      <c r="I334" s="73" t="s">
        <v>303</v>
      </c>
      <c r="J334" s="91">
        <f t="shared" si="128"/>
        <v>0</v>
      </c>
      <c r="K334" s="90">
        <f t="shared" si="129"/>
        <v>0</v>
      </c>
      <c r="L334" s="92" t="e">
        <f t="shared" si="130"/>
        <v>#DIV/0!</v>
      </c>
      <c r="M334" s="495"/>
      <c r="N334" s="325"/>
      <c r="O334" s="325"/>
      <c r="P334" s="326"/>
      <c r="Q334" s="62"/>
      <c r="R334" s="62"/>
      <c r="S334" s="492"/>
      <c r="T334" s="73" t="s">
        <v>303</v>
      </c>
      <c r="U334" s="91">
        <f t="shared" si="131"/>
        <v>0</v>
      </c>
      <c r="V334" s="90">
        <f t="shared" si="132"/>
        <v>0</v>
      </c>
      <c r="W334" s="92" t="e">
        <f t="shared" si="133"/>
        <v>#DIV/0!</v>
      </c>
    </row>
    <row r="335" spans="1:23" ht="15" customHeight="1" thickBot="1" x14ac:dyDescent="0.4">
      <c r="A335" s="493" t="s">
        <v>300</v>
      </c>
      <c r="B335" s="87" t="s">
        <v>304</v>
      </c>
      <c r="C335" s="152">
        <f>COUNTIFS('Données brutes'!F:F,"But",'Données brutes'!E:E,"LAURA LYNE",'Données brutes'!G:G,"7m 9m central suspension")</f>
        <v>0</v>
      </c>
      <c r="D335" s="90">
        <f>COUNTIFS('Données brutes'!F:F,"Ar GB",'Données brutes'!E:E,"LAURA LYNE",'Données brutes'!G:G,"7m 9m central suspension")</f>
        <v>0</v>
      </c>
      <c r="E335" s="90">
        <f>COUNTIFS('Données brutes'!F:F,"HC",'Données brutes'!E:E,"LAURA LYNE",'Données brutes'!G:G,"7m 9m central suspension")</f>
        <v>0</v>
      </c>
      <c r="F335" s="90">
        <f>COUNTIFS('Données brutes'!F:F,"tir raté NC",'Données brutes'!E:E,"LAURA LYNE",'Données brutes'!G:G,"ALD")</f>
        <v>0</v>
      </c>
      <c r="G335" s="121"/>
      <c r="H335" s="493" t="s">
        <v>300</v>
      </c>
      <c r="I335" s="32" t="s">
        <v>304</v>
      </c>
      <c r="J335" s="91">
        <f t="shared" si="128"/>
        <v>0</v>
      </c>
      <c r="K335" s="90">
        <f t="shared" si="129"/>
        <v>0</v>
      </c>
      <c r="L335" s="92" t="e">
        <f t="shared" si="130"/>
        <v>#DIV/0!</v>
      </c>
      <c r="M335" s="495" t="s">
        <v>300</v>
      </c>
      <c r="N335" s="319">
        <f>SUM(J335:J337)</f>
        <v>0</v>
      </c>
      <c r="O335" s="319">
        <f>SUM(K335:K337)</f>
        <v>0</v>
      </c>
      <c r="P335" s="322" t="e">
        <f>N335/O335</f>
        <v>#DIV/0!</v>
      </c>
      <c r="Q335" s="62"/>
      <c r="R335" s="62"/>
      <c r="S335" s="493" t="s">
        <v>300</v>
      </c>
      <c r="T335" s="32" t="s">
        <v>304</v>
      </c>
      <c r="U335" s="91">
        <f t="shared" si="131"/>
        <v>0</v>
      </c>
      <c r="V335" s="90">
        <f t="shared" si="132"/>
        <v>0</v>
      </c>
      <c r="W335" s="92" t="e">
        <f t="shared" si="133"/>
        <v>#DIV/0!</v>
      </c>
    </row>
    <row r="336" spans="1:23" ht="15" thickBot="1" x14ac:dyDescent="0.4">
      <c r="A336" s="506"/>
      <c r="B336" s="13" t="s">
        <v>305</v>
      </c>
      <c r="C336" s="153">
        <f>COUNTIFS('Données brutes'!F:F,"But",'Données brutes'!E:E,"LAURA LYNE",'Données brutes'!G:G,"7m 9m Ext G suspension")</f>
        <v>0</v>
      </c>
      <c r="D336" s="61">
        <f>COUNTIFS('Données brutes'!F:F,"Ar GB",'Données brutes'!E:E,"LAURA LYNE",'Données brutes'!G:G,"7m 9m Ext G suspension")</f>
        <v>0</v>
      </c>
      <c r="E336" s="61">
        <f>COUNTIFS('Données brutes'!F:F,"HC",'Données brutes'!E:E,"LAURA LYNE",'Données brutes'!G:G,"7m 9m Ext G suspension")</f>
        <v>0</v>
      </c>
      <c r="F336" s="90">
        <f>COUNTIFS('Données brutes'!F:F,"tir raté NC",'Données brutes'!E:E,"LAURA LYNE",'Données brutes'!G:G,"ALD")</f>
        <v>0</v>
      </c>
      <c r="G336" s="62"/>
      <c r="H336" s="506"/>
      <c r="I336" s="33" t="s">
        <v>305</v>
      </c>
      <c r="J336" s="91">
        <f t="shared" si="128"/>
        <v>0</v>
      </c>
      <c r="K336" s="90">
        <f t="shared" si="129"/>
        <v>0</v>
      </c>
      <c r="L336" s="92" t="e">
        <f t="shared" si="130"/>
        <v>#DIV/0!</v>
      </c>
      <c r="M336" s="495"/>
      <c r="N336" s="325"/>
      <c r="O336" s="325"/>
      <c r="P336" s="326"/>
      <c r="Q336" s="62"/>
      <c r="R336" s="62"/>
      <c r="S336" s="506"/>
      <c r="T336" s="33" t="s">
        <v>305</v>
      </c>
      <c r="U336" s="91">
        <f t="shared" si="131"/>
        <v>0</v>
      </c>
      <c r="V336" s="90">
        <f t="shared" si="132"/>
        <v>0</v>
      </c>
      <c r="W336" s="92" t="e">
        <f t="shared" si="133"/>
        <v>#DIV/0!</v>
      </c>
    </row>
    <row r="337" spans="1:28" ht="15" thickBot="1" x14ac:dyDescent="0.4">
      <c r="A337" s="494"/>
      <c r="B337" s="36" t="s">
        <v>306</v>
      </c>
      <c r="C337" s="153">
        <f>COUNTIFS('Données brutes'!F:F,"But",'Données brutes'!E:E,"LAURA LYNE",'Données brutes'!G:G,"7m 9m Ext D suspension")</f>
        <v>0</v>
      </c>
      <c r="D337" s="61">
        <f>COUNTIFS('Données brutes'!F:F,"Ar GB",'Données brutes'!E:E,"LAURA LYNE",'Données brutes'!G:G,"7m 9m Ext D suspension")</f>
        <v>0</v>
      </c>
      <c r="E337" s="61">
        <f>COUNTIFS('Données brutes'!F:F,"HC",'Données brutes'!E:E,"LAURA LYNE",'Données brutes'!G:G,"7m 9m Ext D suspension")</f>
        <v>0</v>
      </c>
      <c r="F337" s="90">
        <f>COUNTIFS('Données brutes'!F:F,"tir raté NC",'Données brutes'!E:E,"LAURA LYNE",'Données brutes'!G:G,"7m 9m Ext D suspension")</f>
        <v>0</v>
      </c>
      <c r="G337" s="122"/>
      <c r="H337" s="494"/>
      <c r="I337" s="73" t="s">
        <v>306</v>
      </c>
      <c r="J337" s="91">
        <f t="shared" si="128"/>
        <v>0</v>
      </c>
      <c r="K337" s="90">
        <f t="shared" si="129"/>
        <v>0</v>
      </c>
      <c r="L337" s="92" t="e">
        <f t="shared" si="130"/>
        <v>#DIV/0!</v>
      </c>
      <c r="M337" s="495"/>
      <c r="N337" s="325"/>
      <c r="O337" s="325"/>
      <c r="P337" s="326"/>
      <c r="Q337" s="62"/>
      <c r="R337" s="62"/>
      <c r="S337" s="494"/>
      <c r="T337" s="73" t="s">
        <v>306</v>
      </c>
      <c r="U337" s="91">
        <f t="shared" si="131"/>
        <v>0</v>
      </c>
      <c r="V337" s="90">
        <f t="shared" si="132"/>
        <v>0</v>
      </c>
      <c r="W337" s="92" t="e">
        <f t="shared" si="133"/>
        <v>#DIV/0!</v>
      </c>
    </row>
    <row r="338" spans="1:28" ht="15" thickBot="1" x14ac:dyDescent="0.4">
      <c r="A338" s="407" t="s">
        <v>146</v>
      </c>
      <c r="B338" s="87" t="s">
        <v>307</v>
      </c>
      <c r="C338" s="152">
        <f>COUNTIFS('Données brutes'!F:F,"But",'Données brutes'!E:E,"LAURA LYNE",'Données brutes'!G:G,"9m G")</f>
        <v>0</v>
      </c>
      <c r="D338" s="90">
        <f>COUNTIFS('Données brutes'!F:F,"Ar GB",'Données brutes'!E:E,"LAURA LYNE",'Données brutes'!G:G,"9m G")</f>
        <v>0</v>
      </c>
      <c r="E338" s="90">
        <f>COUNTIFS('Données brutes'!F:F,"HC",'Données brutes'!E:E,"LAURA LYNE",'Données brutes'!G:G,"9m G")</f>
        <v>0</v>
      </c>
      <c r="F338" s="90">
        <f>COUNTIFS('Données brutes'!F:F,"tir raté NC",'Données brutes'!E:E,"LAURA LYNE",'Données brutes'!G:G,"9m G")</f>
        <v>0</v>
      </c>
      <c r="G338" s="121"/>
      <c r="H338" s="407" t="s">
        <v>146</v>
      </c>
      <c r="I338" s="32" t="s">
        <v>307</v>
      </c>
      <c r="J338" s="91">
        <f t="shared" si="128"/>
        <v>0</v>
      </c>
      <c r="K338" s="90">
        <f t="shared" si="129"/>
        <v>0</v>
      </c>
      <c r="L338" s="92" t="e">
        <f t="shared" si="130"/>
        <v>#DIV/0!</v>
      </c>
      <c r="M338" s="404" t="s">
        <v>146</v>
      </c>
      <c r="N338" s="319">
        <f>SUM(J338:J340)</f>
        <v>0</v>
      </c>
      <c r="O338" s="319">
        <f>SUM(K338:K340)</f>
        <v>0</v>
      </c>
      <c r="P338" s="322" t="e">
        <f>N338/O338</f>
        <v>#DIV/0!</v>
      </c>
      <c r="Q338" s="62"/>
      <c r="R338" s="62"/>
      <c r="S338" s="407" t="s">
        <v>146</v>
      </c>
      <c r="T338" s="32" t="s">
        <v>307</v>
      </c>
      <c r="U338" s="91">
        <f t="shared" si="131"/>
        <v>0</v>
      </c>
      <c r="V338" s="90">
        <f t="shared" si="132"/>
        <v>0</v>
      </c>
      <c r="W338" s="92" t="e">
        <f t="shared" si="133"/>
        <v>#DIV/0!</v>
      </c>
    </row>
    <row r="339" spans="1:28" ht="15" thickBot="1" x14ac:dyDescent="0.4">
      <c r="A339" s="404"/>
      <c r="B339" s="13" t="s">
        <v>308</v>
      </c>
      <c r="C339" s="152">
        <f>COUNTIFS('Données brutes'!F:F,"But",'Données brutes'!E:E,"LAURA LYNE",'Données brutes'!G:G,"9m +")</f>
        <v>0</v>
      </c>
      <c r="D339" s="90">
        <f>COUNTIFS('Données brutes'!F:F,"Ar GB",'Données brutes'!E:E,"LAURA LYNE",'Données brutes'!G:G,"9m +")</f>
        <v>0</v>
      </c>
      <c r="E339" s="90">
        <f>COUNTIFS('Données brutes'!F:F,"HC",'Données brutes'!E:E,"LAURA LYNE",'Données brutes'!G:G,"9m +")</f>
        <v>0</v>
      </c>
      <c r="F339" s="90">
        <f>COUNTIFS('Données brutes'!F:F,"tir raté NC",'Données brutes'!E:E,"LAURA LYNE",'Données brutes'!G:G,"9m +")</f>
        <v>0</v>
      </c>
      <c r="G339" s="62"/>
      <c r="H339" s="404"/>
      <c r="I339" s="33" t="s">
        <v>308</v>
      </c>
      <c r="J339" s="91">
        <f t="shared" si="128"/>
        <v>0</v>
      </c>
      <c r="K339" s="90">
        <f t="shared" si="129"/>
        <v>0</v>
      </c>
      <c r="L339" s="92" t="e">
        <f t="shared" si="130"/>
        <v>#DIV/0!</v>
      </c>
      <c r="M339" s="404"/>
      <c r="N339" s="325"/>
      <c r="O339" s="325"/>
      <c r="P339" s="326"/>
      <c r="Q339" s="62"/>
      <c r="R339" s="62"/>
      <c r="S339" s="404"/>
      <c r="T339" s="33" t="s">
        <v>308</v>
      </c>
      <c r="U339" s="91">
        <f t="shared" si="131"/>
        <v>0</v>
      </c>
      <c r="V339" s="90">
        <f t="shared" si="132"/>
        <v>0</v>
      </c>
      <c r="W339" s="92" t="e">
        <f t="shared" si="133"/>
        <v>#DIV/0!</v>
      </c>
    </row>
    <row r="340" spans="1:28" ht="15" thickBot="1" x14ac:dyDescent="0.4">
      <c r="A340" s="490"/>
      <c r="B340" s="36" t="s">
        <v>309</v>
      </c>
      <c r="C340" s="152">
        <f>COUNTIFS('Données brutes'!F:F,"But",'Données brutes'!E:E,"LAURA LYNE",'Données brutes'!G:G,"9m D")</f>
        <v>0</v>
      </c>
      <c r="D340" s="90">
        <f>COUNTIFS('Données brutes'!F:F,"Ar GB",'Données brutes'!E:E,"LAURA LYNE",'Données brutes'!G:G,"9m D")</f>
        <v>0</v>
      </c>
      <c r="E340" s="90">
        <f>COUNTIFS('Données brutes'!F:F,"HC",'Données brutes'!E:E,"LAURA LYNE",'Données brutes'!G:G,"9m D")</f>
        <v>0</v>
      </c>
      <c r="F340" s="90">
        <f>COUNTIFS('Données brutes'!F:F,"tir raté NC",'Données brutes'!E:E,"LAURA LYNE",'Données brutes'!G:G,"9m D")</f>
        <v>0</v>
      </c>
      <c r="G340" s="122"/>
      <c r="H340" s="490"/>
      <c r="I340" s="73" t="s">
        <v>309</v>
      </c>
      <c r="J340" s="91">
        <f t="shared" si="128"/>
        <v>0</v>
      </c>
      <c r="K340" s="90">
        <f t="shared" si="129"/>
        <v>0</v>
      </c>
      <c r="L340" s="92" t="e">
        <f t="shared" si="130"/>
        <v>#DIV/0!</v>
      </c>
      <c r="M340" s="404"/>
      <c r="N340" s="325"/>
      <c r="O340" s="325"/>
      <c r="P340" s="326"/>
      <c r="Q340" s="62"/>
      <c r="R340" s="62"/>
      <c r="S340" s="490"/>
      <c r="T340" s="73" t="s">
        <v>309</v>
      </c>
      <c r="U340" s="91">
        <f t="shared" si="131"/>
        <v>0</v>
      </c>
      <c r="V340" s="90">
        <f t="shared" si="132"/>
        <v>0</v>
      </c>
      <c r="W340" s="92" t="e">
        <f t="shared" si="133"/>
        <v>#DIV/0!</v>
      </c>
    </row>
    <row r="341" spans="1:28" ht="15" customHeight="1" thickBot="1" x14ac:dyDescent="0.4">
      <c r="A341" s="493" t="s">
        <v>310</v>
      </c>
      <c r="B341" s="87" t="s">
        <v>22</v>
      </c>
      <c r="C341" s="152">
        <f>COUNTIFS('Données brutes'!F:F,"But",'Données brutes'!E:E,"LAURA LYNE",'Données brutes'!G:G,"But vide")</f>
        <v>0</v>
      </c>
      <c r="D341" s="90">
        <f>COUNTIFS('Données brutes'!F:F,"Ar GB",'Données brutes'!E:E,"LAURA LYNE",'Données brutes'!G:G,"But vide")</f>
        <v>0</v>
      </c>
      <c r="E341" s="90">
        <f>COUNTIFS('Données brutes'!F:F,"HC",'Données brutes'!E:E,"LAURA LYNE",'Données brutes'!G:G,"But vide")</f>
        <v>0</v>
      </c>
      <c r="F341" s="90">
        <f>COUNTIFS('Données brutes'!F:F,"tir raté NC",'Données brutes'!E:E,"LAURA LYNE",'Données brutes'!G:G,"But vide")</f>
        <v>0</v>
      </c>
      <c r="G341" s="121"/>
      <c r="H341" s="493" t="s">
        <v>310</v>
      </c>
      <c r="I341" s="32" t="s">
        <v>22</v>
      </c>
      <c r="J341" s="91">
        <f t="shared" si="128"/>
        <v>0</v>
      </c>
      <c r="K341" s="90">
        <f t="shared" si="129"/>
        <v>0</v>
      </c>
      <c r="L341" s="92" t="e">
        <f t="shared" si="130"/>
        <v>#DIV/0!</v>
      </c>
      <c r="M341" s="495" t="s">
        <v>310</v>
      </c>
      <c r="N341" s="319">
        <f>J341+J342</f>
        <v>1</v>
      </c>
      <c r="O341" s="319">
        <f>K341+K342</f>
        <v>1</v>
      </c>
      <c r="P341" s="322">
        <f>N341/O341</f>
        <v>1</v>
      </c>
      <c r="Q341" s="62"/>
      <c r="R341" s="62"/>
      <c r="S341" s="493" t="s">
        <v>310</v>
      </c>
      <c r="T341" s="32" t="s">
        <v>22</v>
      </c>
      <c r="U341" s="91">
        <f t="shared" si="131"/>
        <v>0</v>
      </c>
      <c r="V341" s="90">
        <f t="shared" si="132"/>
        <v>0</v>
      </c>
      <c r="W341" s="92" t="e">
        <f t="shared" si="133"/>
        <v>#DIV/0!</v>
      </c>
    </row>
    <row r="342" spans="1:28" ht="15" thickBot="1" x14ac:dyDescent="0.4">
      <c r="A342" s="494"/>
      <c r="B342" s="36" t="s">
        <v>12</v>
      </c>
      <c r="C342" s="152">
        <f>COUNTIFS('Données brutes'!F:F,"But",'Données brutes'!E:E,"LAURA LYNE",'Données brutes'!G:G,"CA MB")</f>
        <v>1</v>
      </c>
      <c r="D342" s="90">
        <f>COUNTIFS('Données brutes'!F:F,"Ar GB",'Données brutes'!E:E,"LAURA LYNE",'Données brutes'!G:G,"CA MB")</f>
        <v>0</v>
      </c>
      <c r="E342" s="90">
        <f>COUNTIFS('Données brutes'!F:F,"HC",'Données brutes'!E:E,"LAURA LYNE",'Données brutes'!G:G,"CA MB")</f>
        <v>0</v>
      </c>
      <c r="F342" s="90">
        <f>COUNTIFS('Données brutes'!F:F,"tir raté NC",'Données brutes'!E:E,"LAURA LYNE",'Données brutes'!G:G,"CA MB")</f>
        <v>0</v>
      </c>
      <c r="G342" s="122"/>
      <c r="H342" s="494"/>
      <c r="I342" s="73" t="s">
        <v>12</v>
      </c>
      <c r="J342" s="91">
        <f t="shared" si="128"/>
        <v>1</v>
      </c>
      <c r="K342" s="90">
        <f t="shared" si="129"/>
        <v>1</v>
      </c>
      <c r="L342" s="92">
        <f t="shared" si="130"/>
        <v>1</v>
      </c>
      <c r="M342" s="495"/>
      <c r="N342" s="325"/>
      <c r="O342" s="325"/>
      <c r="P342" s="326"/>
      <c r="Q342" s="62"/>
      <c r="R342" s="62"/>
      <c r="S342" s="494"/>
      <c r="T342" s="73" t="s">
        <v>12</v>
      </c>
      <c r="U342" s="91">
        <f t="shared" si="131"/>
        <v>0.25</v>
      </c>
      <c r="V342" s="90">
        <f t="shared" si="132"/>
        <v>0.25</v>
      </c>
      <c r="W342" s="92">
        <f t="shared" si="133"/>
        <v>1</v>
      </c>
    </row>
    <row r="343" spans="1:28" ht="15" thickBot="1" x14ac:dyDescent="0.4">
      <c r="A343" s="488" t="s">
        <v>311</v>
      </c>
      <c r="B343" s="507"/>
      <c r="C343" s="156">
        <f>SUM(C325:C342)</f>
        <v>5</v>
      </c>
      <c r="D343" s="157">
        <f t="shared" ref="D343:E343" si="134">SUM(D325:D342)</f>
        <v>1</v>
      </c>
      <c r="E343" s="157">
        <f t="shared" si="134"/>
        <v>0</v>
      </c>
      <c r="F343" s="157">
        <f>SUM(F325:F338)</f>
        <v>0</v>
      </c>
      <c r="G343" s="123"/>
      <c r="H343" s="488" t="s">
        <v>311</v>
      </c>
      <c r="I343" s="489"/>
      <c r="J343" s="91">
        <f t="shared" si="128"/>
        <v>5</v>
      </c>
      <c r="K343" s="90">
        <f t="shared" si="129"/>
        <v>6</v>
      </c>
      <c r="L343" s="92">
        <f t="shared" si="130"/>
        <v>0.83333333333333337</v>
      </c>
      <c r="M343" s="324"/>
      <c r="N343" s="325"/>
      <c r="O343" s="325"/>
      <c r="P343" s="326"/>
      <c r="Q343" s="62"/>
      <c r="R343" s="62"/>
      <c r="S343" s="488" t="s">
        <v>311</v>
      </c>
      <c r="T343" s="489"/>
      <c r="U343" s="91">
        <f t="shared" si="131"/>
        <v>1.25</v>
      </c>
      <c r="V343" s="90">
        <f t="shared" si="132"/>
        <v>1.5</v>
      </c>
      <c r="W343" s="92">
        <f t="shared" si="133"/>
        <v>0.83333333333333337</v>
      </c>
    </row>
    <row r="344" spans="1:28" ht="15" thickBot="1" x14ac:dyDescent="0.4">
      <c r="A344" s="94"/>
      <c r="B344" s="87" t="s">
        <v>59</v>
      </c>
      <c r="C344" s="152">
        <f>COUNTIFS('Données brutes'!F:F,"But",'Données brutes'!E:E,"LAURA LYNE",'Données brutes'!G:G,"Jet 7m")</f>
        <v>0</v>
      </c>
      <c r="D344" s="90">
        <f>COUNTIFS('Données brutes'!F:F,"Ar GB",'Données brutes'!E:E,"LAURA LYNE",'Données brutes'!G:G,"Jet 7m")</f>
        <v>0</v>
      </c>
      <c r="E344" s="90">
        <f>COUNTIFS('Données brutes'!F:F,"HC",'Données brutes'!E:E,"LAURA LYNE",'Données brutes'!G:G,"Jet 7m")</f>
        <v>0</v>
      </c>
      <c r="F344" s="90">
        <f>COUNTIFS('Données brutes'!F:F,"tir raté NC",'Données brutes'!E:E,"LAURA LYNE",'Données brutes'!G:G,"Jet 7m")</f>
        <v>0</v>
      </c>
      <c r="G344" s="508"/>
      <c r="H344" s="94"/>
      <c r="I344" s="32" t="s">
        <v>59</v>
      </c>
      <c r="J344" s="91">
        <f t="shared" si="128"/>
        <v>0</v>
      </c>
      <c r="K344" s="90">
        <f t="shared" si="129"/>
        <v>0</v>
      </c>
      <c r="L344" s="92" t="e">
        <f t="shared" si="130"/>
        <v>#DIV/0!</v>
      </c>
      <c r="M344" s="324"/>
      <c r="N344" s="325"/>
      <c r="O344" s="325"/>
      <c r="P344" s="326"/>
      <c r="Q344" s="62"/>
      <c r="R344" s="62"/>
      <c r="S344" s="94"/>
      <c r="T344" s="32" t="s">
        <v>59</v>
      </c>
      <c r="U344" s="91">
        <f t="shared" si="131"/>
        <v>0</v>
      </c>
      <c r="V344" s="90">
        <f t="shared" si="132"/>
        <v>0</v>
      </c>
      <c r="W344" s="92" t="e">
        <f t="shared" si="133"/>
        <v>#DIV/0!</v>
      </c>
    </row>
    <row r="345" spans="1:28" ht="15" thickBot="1" x14ac:dyDescent="0.4">
      <c r="A345" s="490" t="s">
        <v>312</v>
      </c>
      <c r="B345" s="510"/>
      <c r="C345" s="156">
        <f>C343+C344</f>
        <v>5</v>
      </c>
      <c r="D345" s="156">
        <f t="shared" ref="D345" si="135">D343+D344</f>
        <v>1</v>
      </c>
      <c r="E345" s="156">
        <f t="shared" ref="E345" si="136">E343+E344</f>
        <v>0</v>
      </c>
      <c r="F345" s="156">
        <f t="shared" ref="F345" si="137">F343+F344</f>
        <v>0</v>
      </c>
      <c r="G345" s="509"/>
      <c r="H345" s="490" t="s">
        <v>312</v>
      </c>
      <c r="I345" s="511"/>
      <c r="J345" s="91">
        <f t="shared" si="128"/>
        <v>5</v>
      </c>
      <c r="K345" s="90">
        <f t="shared" si="129"/>
        <v>6</v>
      </c>
      <c r="L345" s="92">
        <f t="shared" si="130"/>
        <v>0.83333333333333337</v>
      </c>
      <c r="M345" s="327"/>
      <c r="N345" s="328"/>
      <c r="O345" s="328"/>
      <c r="P345" s="329"/>
      <c r="Q345" s="122"/>
      <c r="R345" s="122"/>
      <c r="S345" s="490" t="s">
        <v>312</v>
      </c>
      <c r="T345" s="511"/>
      <c r="U345" s="91">
        <f t="shared" si="131"/>
        <v>1.25</v>
      </c>
      <c r="V345" s="90">
        <f t="shared" si="132"/>
        <v>1.5</v>
      </c>
      <c r="W345" s="92">
        <f t="shared" si="133"/>
        <v>0.83333333333333337</v>
      </c>
    </row>
    <row r="347" spans="1:28" ht="15" thickBot="1" x14ac:dyDescent="0.4"/>
    <row r="348" spans="1:28" ht="26.5" thickBot="1" x14ac:dyDescent="0.4">
      <c r="A348" s="514" t="s">
        <v>375</v>
      </c>
      <c r="B348" s="515"/>
      <c r="C348" s="515"/>
      <c r="D348" s="515"/>
      <c r="E348" s="515"/>
      <c r="F348" s="515"/>
      <c r="G348" s="121"/>
      <c r="H348" s="425" t="s">
        <v>333</v>
      </c>
      <c r="I348" s="425"/>
      <c r="J348" s="425"/>
      <c r="K348" s="425"/>
      <c r="L348" s="425"/>
      <c r="M348" s="309"/>
      <c r="N348" s="309"/>
      <c r="O348" s="309"/>
      <c r="P348" s="309"/>
      <c r="Q348" s="121"/>
      <c r="R348" s="124" t="s">
        <v>393</v>
      </c>
      <c r="S348" s="425" t="s">
        <v>334</v>
      </c>
      <c r="T348" s="425"/>
      <c r="U348" s="425"/>
      <c r="V348" s="425"/>
      <c r="W348" s="426"/>
    </row>
    <row r="349" spans="1:28" ht="29.5" thickBot="1" x14ac:dyDescent="0.4">
      <c r="A349" s="403" t="s">
        <v>5</v>
      </c>
      <c r="B349" s="512"/>
      <c r="C349" s="118" t="s">
        <v>33</v>
      </c>
      <c r="D349" s="118" t="s">
        <v>20</v>
      </c>
      <c r="E349" s="118" t="s">
        <v>10</v>
      </c>
      <c r="F349" s="118" t="s">
        <v>277</v>
      </c>
      <c r="G349" s="62"/>
      <c r="H349" s="513" t="s">
        <v>5</v>
      </c>
      <c r="I349" s="421"/>
      <c r="J349" s="93" t="s">
        <v>33</v>
      </c>
      <c r="K349" s="119" t="s">
        <v>326</v>
      </c>
      <c r="L349" s="120" t="s">
        <v>150</v>
      </c>
      <c r="M349" s="310"/>
      <c r="N349" s="320" t="s">
        <v>33</v>
      </c>
      <c r="O349" s="320" t="s">
        <v>326</v>
      </c>
      <c r="P349" s="321" t="s">
        <v>150</v>
      </c>
      <c r="Q349" s="62"/>
      <c r="R349" s="125">
        <f>'Matchs joués'!B1</f>
        <v>4</v>
      </c>
      <c r="S349" s="513" t="s">
        <v>5</v>
      </c>
      <c r="T349" s="421"/>
      <c r="U349" s="93" t="s">
        <v>33</v>
      </c>
      <c r="V349" s="119" t="s">
        <v>326</v>
      </c>
      <c r="W349" s="120" t="s">
        <v>150</v>
      </c>
      <c r="AB349" s="163" t="s">
        <v>385</v>
      </c>
    </row>
    <row r="350" spans="1:28" ht="15" thickBot="1" x14ac:dyDescent="0.4">
      <c r="A350" s="407" t="s">
        <v>295</v>
      </c>
      <c r="B350" s="87" t="s">
        <v>15</v>
      </c>
      <c r="C350" s="152">
        <f>C3+C27+C51+C76+C101+C126+C151+C176+C201+C226+C250+C275+C300+C325</f>
        <v>5</v>
      </c>
      <c r="D350" s="152">
        <f t="shared" ref="D350:F350" si="138">D3+D27+D51+D76+D101+D126+D151+D176+D201+D226+D250+D275+D300+D325</f>
        <v>9</v>
      </c>
      <c r="E350" s="152">
        <f t="shared" si="138"/>
        <v>5</v>
      </c>
      <c r="F350" s="152">
        <f t="shared" si="138"/>
        <v>0</v>
      </c>
      <c r="G350" s="121"/>
      <c r="H350" s="407" t="s">
        <v>295</v>
      </c>
      <c r="I350" s="32" t="s">
        <v>15</v>
      </c>
      <c r="J350" s="91">
        <f>$C350</f>
        <v>5</v>
      </c>
      <c r="K350" s="90">
        <f>$C350+$D350+$E350</f>
        <v>19</v>
      </c>
      <c r="L350" s="92">
        <f>J350/K350</f>
        <v>0.26315789473684209</v>
      </c>
      <c r="M350" s="404" t="s">
        <v>295</v>
      </c>
      <c r="N350" s="496" t="s">
        <v>394</v>
      </c>
      <c r="O350" s="496"/>
      <c r="P350" s="497"/>
      <c r="Q350" s="62"/>
      <c r="R350" s="62"/>
      <c r="S350" s="407" t="s">
        <v>295</v>
      </c>
      <c r="T350" s="32" t="s">
        <v>15</v>
      </c>
      <c r="U350" s="162">
        <f>J350/$R$349</f>
        <v>1.25</v>
      </c>
      <c r="V350" s="162">
        <f>K350/$R$349</f>
        <v>4.75</v>
      </c>
      <c r="W350" s="92">
        <f>U350/V350</f>
        <v>0.26315789473684209</v>
      </c>
      <c r="Z350" s="407" t="s">
        <v>295</v>
      </c>
      <c r="AA350" s="32" t="s">
        <v>15</v>
      </c>
      <c r="AB350" s="161">
        <f t="shared" ref="AB350:AB368" si="139">V350/$V$368</f>
        <v>0.10795454545454546</v>
      </c>
    </row>
    <row r="351" spans="1:28" ht="15" thickBot="1" x14ac:dyDescent="0.4">
      <c r="A351" s="404"/>
      <c r="B351" s="13" t="s">
        <v>282</v>
      </c>
      <c r="C351" s="152">
        <f t="shared" ref="C351:F370" si="140">C4+C28+C52+C77+C102+C127+C152+C177+C202+C227+C251+C276+C301+C326</f>
        <v>14</v>
      </c>
      <c r="D351" s="152">
        <f t="shared" si="140"/>
        <v>2</v>
      </c>
      <c r="E351" s="152">
        <f t="shared" si="140"/>
        <v>1</v>
      </c>
      <c r="F351" s="152">
        <f t="shared" si="140"/>
        <v>1</v>
      </c>
      <c r="G351" s="62"/>
      <c r="H351" s="404"/>
      <c r="I351" s="33" t="s">
        <v>282</v>
      </c>
      <c r="J351" s="91">
        <f t="shared" ref="J351:J370" si="141">$C351</f>
        <v>14</v>
      </c>
      <c r="K351" s="90">
        <f t="shared" ref="K351:K370" si="142">$C351+$D351+$E351</f>
        <v>17</v>
      </c>
      <c r="L351" s="92">
        <f t="shared" ref="L351:L370" si="143">J351/K351</f>
        <v>0.82352941176470584</v>
      </c>
      <c r="M351" s="404"/>
      <c r="N351" s="319">
        <f>J350+J356</f>
        <v>19</v>
      </c>
      <c r="O351" s="319">
        <f>K350+K356</f>
        <v>44</v>
      </c>
      <c r="P351" s="322">
        <f>N351/O351</f>
        <v>0.43181818181818182</v>
      </c>
      <c r="Q351" s="62"/>
      <c r="R351" s="62"/>
      <c r="S351" s="404"/>
      <c r="T351" s="33" t="s">
        <v>282</v>
      </c>
      <c r="U351" s="162">
        <f t="shared" ref="U351:U370" si="144">J351/$R$349</f>
        <v>3.5</v>
      </c>
      <c r="V351" s="162">
        <f t="shared" ref="V351:V370" si="145">K351/$R$349</f>
        <v>4.25</v>
      </c>
      <c r="W351" s="92">
        <f t="shared" ref="W351:W370" si="146">U351/V351</f>
        <v>0.82352941176470584</v>
      </c>
      <c r="Z351" s="404"/>
      <c r="AA351" s="33" t="s">
        <v>282</v>
      </c>
      <c r="AB351" s="161">
        <f t="shared" si="139"/>
        <v>9.6590909090909088E-2</v>
      </c>
    </row>
    <row r="352" spans="1:28" ht="15" thickBot="1" x14ac:dyDescent="0.4">
      <c r="A352" s="404"/>
      <c r="B352" s="13" t="s">
        <v>297</v>
      </c>
      <c r="C352" s="152">
        <f t="shared" si="140"/>
        <v>6</v>
      </c>
      <c r="D352" s="152">
        <f t="shared" si="140"/>
        <v>3</v>
      </c>
      <c r="E352" s="152">
        <f t="shared" si="140"/>
        <v>0</v>
      </c>
      <c r="F352" s="152">
        <f t="shared" si="140"/>
        <v>0</v>
      </c>
      <c r="G352" s="62"/>
      <c r="H352" s="404"/>
      <c r="I352" s="33" t="s">
        <v>297</v>
      </c>
      <c r="J352" s="91">
        <f t="shared" si="141"/>
        <v>6</v>
      </c>
      <c r="K352" s="90">
        <f t="shared" si="142"/>
        <v>9</v>
      </c>
      <c r="L352" s="92">
        <f t="shared" si="143"/>
        <v>0.66666666666666663</v>
      </c>
      <c r="M352" s="404"/>
      <c r="N352" s="498" t="s">
        <v>395</v>
      </c>
      <c r="O352" s="498"/>
      <c r="P352" s="499"/>
      <c r="Q352" s="62"/>
      <c r="R352" s="62"/>
      <c r="S352" s="404"/>
      <c r="T352" s="33" t="s">
        <v>297</v>
      </c>
      <c r="U352" s="162">
        <f t="shared" si="144"/>
        <v>1.5</v>
      </c>
      <c r="V352" s="162">
        <f t="shared" si="145"/>
        <v>2.25</v>
      </c>
      <c r="W352" s="92">
        <f t="shared" si="146"/>
        <v>0.66666666666666663</v>
      </c>
      <c r="Z352" s="404"/>
      <c r="AA352" s="33" t="s">
        <v>297</v>
      </c>
      <c r="AB352" s="161">
        <f t="shared" si="139"/>
        <v>5.113636363636364E-2</v>
      </c>
    </row>
    <row r="353" spans="1:28" ht="15" thickBot="1" x14ac:dyDescent="0.4">
      <c r="A353" s="404"/>
      <c r="B353" s="13" t="s">
        <v>296</v>
      </c>
      <c r="C353" s="152">
        <f t="shared" si="140"/>
        <v>7</v>
      </c>
      <c r="D353" s="152">
        <f t="shared" si="140"/>
        <v>4</v>
      </c>
      <c r="E353" s="152">
        <f t="shared" si="140"/>
        <v>0</v>
      </c>
      <c r="F353" s="152">
        <f t="shared" si="140"/>
        <v>2</v>
      </c>
      <c r="G353" s="62"/>
      <c r="H353" s="404"/>
      <c r="I353" s="33" t="s">
        <v>296</v>
      </c>
      <c r="J353" s="91">
        <f t="shared" si="141"/>
        <v>7</v>
      </c>
      <c r="K353" s="90">
        <f t="shared" si="142"/>
        <v>11</v>
      </c>
      <c r="L353" s="92">
        <f t="shared" si="143"/>
        <v>0.63636363636363635</v>
      </c>
      <c r="M353" s="404"/>
      <c r="N353" s="319">
        <f>J351+J355</f>
        <v>21</v>
      </c>
      <c r="O353" s="319">
        <f>K351+K355</f>
        <v>30</v>
      </c>
      <c r="P353" s="322">
        <f>N353/O353</f>
        <v>0.7</v>
      </c>
      <c r="Q353" s="62"/>
      <c r="R353" s="62"/>
      <c r="S353" s="404"/>
      <c r="T353" s="33" t="s">
        <v>296</v>
      </c>
      <c r="U353" s="162">
        <f t="shared" si="144"/>
        <v>1.75</v>
      </c>
      <c r="V353" s="162">
        <f t="shared" si="145"/>
        <v>2.75</v>
      </c>
      <c r="W353" s="92">
        <f t="shared" si="146"/>
        <v>0.63636363636363635</v>
      </c>
      <c r="Z353" s="404"/>
      <c r="AA353" s="33" t="s">
        <v>296</v>
      </c>
      <c r="AB353" s="161">
        <f t="shared" si="139"/>
        <v>6.25E-2</v>
      </c>
    </row>
    <row r="354" spans="1:28" ht="15" thickBot="1" x14ac:dyDescent="0.4">
      <c r="A354" s="404"/>
      <c r="B354" s="13" t="s">
        <v>298</v>
      </c>
      <c r="C354" s="152">
        <f t="shared" si="140"/>
        <v>6</v>
      </c>
      <c r="D354" s="152">
        <f t="shared" si="140"/>
        <v>1</v>
      </c>
      <c r="E354" s="152">
        <f t="shared" si="140"/>
        <v>0</v>
      </c>
      <c r="F354" s="152">
        <f t="shared" si="140"/>
        <v>0</v>
      </c>
      <c r="G354" s="62"/>
      <c r="H354" s="404"/>
      <c r="I354" s="33" t="s">
        <v>298</v>
      </c>
      <c r="J354" s="91">
        <f t="shared" si="141"/>
        <v>6</v>
      </c>
      <c r="K354" s="90">
        <f t="shared" si="142"/>
        <v>7</v>
      </c>
      <c r="L354" s="92">
        <f t="shared" si="143"/>
        <v>0.8571428571428571</v>
      </c>
      <c r="M354" s="404"/>
      <c r="N354" s="498" t="s">
        <v>396</v>
      </c>
      <c r="O354" s="498"/>
      <c r="P354" s="499"/>
      <c r="Q354" s="62"/>
      <c r="R354" s="62"/>
      <c r="S354" s="404"/>
      <c r="T354" s="33" t="s">
        <v>298</v>
      </c>
      <c r="U354" s="162">
        <f t="shared" si="144"/>
        <v>1.5</v>
      </c>
      <c r="V354" s="162">
        <f t="shared" si="145"/>
        <v>1.75</v>
      </c>
      <c r="W354" s="92">
        <f t="shared" si="146"/>
        <v>0.8571428571428571</v>
      </c>
      <c r="Z354" s="404"/>
      <c r="AA354" s="33" t="s">
        <v>298</v>
      </c>
      <c r="AB354" s="161">
        <f t="shared" si="139"/>
        <v>3.9772727272727272E-2</v>
      </c>
    </row>
    <row r="355" spans="1:28" ht="15" thickBot="1" x14ac:dyDescent="0.4">
      <c r="A355" s="404"/>
      <c r="B355" s="13" t="s">
        <v>283</v>
      </c>
      <c r="C355" s="152">
        <f t="shared" si="140"/>
        <v>7</v>
      </c>
      <c r="D355" s="152">
        <f t="shared" si="140"/>
        <v>3</v>
      </c>
      <c r="E355" s="152">
        <f t="shared" si="140"/>
        <v>3</v>
      </c>
      <c r="F355" s="152">
        <f t="shared" si="140"/>
        <v>2</v>
      </c>
      <c r="G355" s="62"/>
      <c r="H355" s="404"/>
      <c r="I355" s="33" t="s">
        <v>283</v>
      </c>
      <c r="J355" s="91">
        <f t="shared" si="141"/>
        <v>7</v>
      </c>
      <c r="K355" s="90">
        <f t="shared" si="142"/>
        <v>13</v>
      </c>
      <c r="L355" s="92">
        <f t="shared" si="143"/>
        <v>0.53846153846153844</v>
      </c>
      <c r="M355" s="404"/>
      <c r="N355" s="319">
        <f>J352+J353+J354</f>
        <v>19</v>
      </c>
      <c r="O355" s="319">
        <f>K352+K353+K354</f>
        <v>27</v>
      </c>
      <c r="P355" s="322">
        <f>N355/O355</f>
        <v>0.70370370370370372</v>
      </c>
      <c r="Q355" s="62"/>
      <c r="R355" s="62"/>
      <c r="S355" s="404"/>
      <c r="T355" s="33" t="s">
        <v>283</v>
      </c>
      <c r="U355" s="162">
        <f t="shared" si="144"/>
        <v>1.75</v>
      </c>
      <c r="V355" s="162">
        <f t="shared" si="145"/>
        <v>3.25</v>
      </c>
      <c r="W355" s="92">
        <f t="shared" si="146"/>
        <v>0.53846153846153844</v>
      </c>
      <c r="Z355" s="404"/>
      <c r="AA355" s="33" t="s">
        <v>283</v>
      </c>
      <c r="AB355" s="161">
        <f t="shared" si="139"/>
        <v>7.3863636363636367E-2</v>
      </c>
    </row>
    <row r="356" spans="1:28" ht="15" thickBot="1" x14ac:dyDescent="0.4">
      <c r="A356" s="490"/>
      <c r="B356" s="36" t="s">
        <v>17</v>
      </c>
      <c r="C356" s="152">
        <f t="shared" si="140"/>
        <v>14</v>
      </c>
      <c r="D356" s="152">
        <f t="shared" si="140"/>
        <v>7</v>
      </c>
      <c r="E356" s="152">
        <f t="shared" si="140"/>
        <v>4</v>
      </c>
      <c r="F356" s="152">
        <f t="shared" si="140"/>
        <v>0</v>
      </c>
      <c r="G356" s="122"/>
      <c r="H356" s="490"/>
      <c r="I356" s="73" t="s">
        <v>17</v>
      </c>
      <c r="J356" s="91">
        <f t="shared" si="141"/>
        <v>14</v>
      </c>
      <c r="K356" s="90">
        <f t="shared" si="142"/>
        <v>25</v>
      </c>
      <c r="L356" s="92">
        <f t="shared" si="143"/>
        <v>0.56000000000000005</v>
      </c>
      <c r="M356" s="404"/>
      <c r="N356" s="325"/>
      <c r="O356" s="325"/>
      <c r="P356" s="326"/>
      <c r="Q356" s="62"/>
      <c r="R356" s="62"/>
      <c r="S356" s="490"/>
      <c r="T356" s="73" t="s">
        <v>17</v>
      </c>
      <c r="U356" s="162">
        <f t="shared" si="144"/>
        <v>3.5</v>
      </c>
      <c r="V356" s="162">
        <f t="shared" si="145"/>
        <v>6.25</v>
      </c>
      <c r="W356" s="92">
        <f t="shared" si="146"/>
        <v>0.56000000000000005</v>
      </c>
      <c r="Z356" s="490"/>
      <c r="AA356" s="73" t="s">
        <v>17</v>
      </c>
      <c r="AB356" s="161">
        <f t="shared" si="139"/>
        <v>0.14204545454545456</v>
      </c>
    </row>
    <row r="357" spans="1:28" ht="15" customHeight="1" thickBot="1" x14ac:dyDescent="0.4">
      <c r="A357" s="491" t="s">
        <v>299</v>
      </c>
      <c r="B357" s="87" t="s">
        <v>301</v>
      </c>
      <c r="C357" s="152">
        <f t="shared" si="140"/>
        <v>5</v>
      </c>
      <c r="D357" s="152">
        <f t="shared" si="140"/>
        <v>2</v>
      </c>
      <c r="E357" s="152">
        <f t="shared" si="140"/>
        <v>5</v>
      </c>
      <c r="F357" s="152">
        <f t="shared" si="140"/>
        <v>0</v>
      </c>
      <c r="G357" s="121"/>
      <c r="H357" s="491" t="s">
        <v>299</v>
      </c>
      <c r="I357" s="32" t="s">
        <v>301</v>
      </c>
      <c r="J357" s="91">
        <f t="shared" si="141"/>
        <v>5</v>
      </c>
      <c r="K357" s="90">
        <f t="shared" si="142"/>
        <v>12</v>
      </c>
      <c r="L357" s="92">
        <f t="shared" si="143"/>
        <v>0.41666666666666669</v>
      </c>
      <c r="M357" s="495" t="s">
        <v>299</v>
      </c>
      <c r="N357" s="319">
        <f>SUM(J357:J359)</f>
        <v>7</v>
      </c>
      <c r="O357" s="319">
        <f>SUM(K357:K359)</f>
        <v>19</v>
      </c>
      <c r="P357" s="322">
        <f>N357/O357</f>
        <v>0.36842105263157893</v>
      </c>
      <c r="Q357" s="62"/>
      <c r="R357" s="62"/>
      <c r="S357" s="491" t="s">
        <v>299</v>
      </c>
      <c r="T357" s="32" t="s">
        <v>301</v>
      </c>
      <c r="U357" s="162">
        <f t="shared" si="144"/>
        <v>1.25</v>
      </c>
      <c r="V357" s="162">
        <f t="shared" si="145"/>
        <v>3</v>
      </c>
      <c r="W357" s="92">
        <f t="shared" si="146"/>
        <v>0.41666666666666669</v>
      </c>
      <c r="Z357" s="491" t="s">
        <v>299</v>
      </c>
      <c r="AA357" s="32" t="s">
        <v>301</v>
      </c>
      <c r="AB357" s="161">
        <f t="shared" si="139"/>
        <v>6.8181818181818177E-2</v>
      </c>
    </row>
    <row r="358" spans="1:28" ht="15" thickBot="1" x14ac:dyDescent="0.4">
      <c r="A358" s="495"/>
      <c r="B358" s="13" t="s">
        <v>302</v>
      </c>
      <c r="C358" s="152">
        <f t="shared" si="140"/>
        <v>2</v>
      </c>
      <c r="D358" s="152">
        <f t="shared" si="140"/>
        <v>0</v>
      </c>
      <c r="E358" s="152">
        <f t="shared" si="140"/>
        <v>1</v>
      </c>
      <c r="F358" s="152">
        <f t="shared" si="140"/>
        <v>0</v>
      </c>
      <c r="G358" s="62"/>
      <c r="H358" s="495"/>
      <c r="I358" s="33" t="s">
        <v>302</v>
      </c>
      <c r="J358" s="91">
        <f t="shared" si="141"/>
        <v>2</v>
      </c>
      <c r="K358" s="90">
        <f t="shared" si="142"/>
        <v>3</v>
      </c>
      <c r="L358" s="92">
        <f t="shared" si="143"/>
        <v>0.66666666666666663</v>
      </c>
      <c r="M358" s="495"/>
      <c r="N358" s="325"/>
      <c r="O358" s="325"/>
      <c r="P358" s="326"/>
      <c r="Q358" s="62"/>
      <c r="R358" s="62"/>
      <c r="S358" s="495"/>
      <c r="T358" s="33" t="s">
        <v>302</v>
      </c>
      <c r="U358" s="162">
        <f t="shared" si="144"/>
        <v>0.5</v>
      </c>
      <c r="V358" s="162">
        <f t="shared" si="145"/>
        <v>0.75</v>
      </c>
      <c r="W358" s="92">
        <f t="shared" si="146"/>
        <v>0.66666666666666663</v>
      </c>
      <c r="Z358" s="495"/>
      <c r="AA358" s="33" t="s">
        <v>302</v>
      </c>
      <c r="AB358" s="161">
        <f t="shared" si="139"/>
        <v>1.7045454545454544E-2</v>
      </c>
    </row>
    <row r="359" spans="1:28" ht="15" thickBot="1" x14ac:dyDescent="0.4">
      <c r="A359" s="492"/>
      <c r="B359" s="36" t="s">
        <v>303</v>
      </c>
      <c r="C359" s="152">
        <f t="shared" si="140"/>
        <v>0</v>
      </c>
      <c r="D359" s="152">
        <f t="shared" si="140"/>
        <v>1</v>
      </c>
      <c r="E359" s="152">
        <f t="shared" si="140"/>
        <v>3</v>
      </c>
      <c r="F359" s="152">
        <f t="shared" si="140"/>
        <v>0</v>
      </c>
      <c r="G359" s="122"/>
      <c r="H359" s="492"/>
      <c r="I359" s="73" t="s">
        <v>303</v>
      </c>
      <c r="J359" s="91">
        <f t="shared" si="141"/>
        <v>0</v>
      </c>
      <c r="K359" s="90">
        <f t="shared" si="142"/>
        <v>4</v>
      </c>
      <c r="L359" s="92">
        <f t="shared" si="143"/>
        <v>0</v>
      </c>
      <c r="M359" s="495"/>
      <c r="N359" s="325"/>
      <c r="O359" s="325"/>
      <c r="P359" s="326"/>
      <c r="Q359" s="62"/>
      <c r="R359" s="62"/>
      <c r="S359" s="492"/>
      <c r="T359" s="73" t="s">
        <v>303</v>
      </c>
      <c r="U359" s="162">
        <f t="shared" si="144"/>
        <v>0</v>
      </c>
      <c r="V359" s="162">
        <f t="shared" si="145"/>
        <v>1</v>
      </c>
      <c r="W359" s="92">
        <f t="shared" si="146"/>
        <v>0</v>
      </c>
      <c r="Z359" s="492"/>
      <c r="AA359" s="73" t="s">
        <v>303</v>
      </c>
      <c r="AB359" s="161">
        <f t="shared" si="139"/>
        <v>2.2727272727272728E-2</v>
      </c>
    </row>
    <row r="360" spans="1:28" ht="15" customHeight="1" thickBot="1" x14ac:dyDescent="0.4">
      <c r="A360" s="493" t="s">
        <v>300</v>
      </c>
      <c r="B360" s="87" t="s">
        <v>304</v>
      </c>
      <c r="C360" s="152">
        <f t="shared" si="140"/>
        <v>5</v>
      </c>
      <c r="D360" s="152">
        <f t="shared" si="140"/>
        <v>3</v>
      </c>
      <c r="E360" s="152">
        <f t="shared" si="140"/>
        <v>3</v>
      </c>
      <c r="F360" s="152">
        <f t="shared" si="140"/>
        <v>0</v>
      </c>
      <c r="G360" s="121"/>
      <c r="H360" s="493" t="s">
        <v>300</v>
      </c>
      <c r="I360" s="32" t="s">
        <v>304</v>
      </c>
      <c r="J360" s="91">
        <f t="shared" si="141"/>
        <v>5</v>
      </c>
      <c r="K360" s="90">
        <f t="shared" si="142"/>
        <v>11</v>
      </c>
      <c r="L360" s="92">
        <f t="shared" si="143"/>
        <v>0.45454545454545453</v>
      </c>
      <c r="M360" s="495" t="s">
        <v>300</v>
      </c>
      <c r="N360" s="319">
        <f>SUM(J360:J362)</f>
        <v>7</v>
      </c>
      <c r="O360" s="319">
        <f>SUM(K360:K362)</f>
        <v>16</v>
      </c>
      <c r="P360" s="322">
        <f>N360/O360</f>
        <v>0.4375</v>
      </c>
      <c r="Q360" s="62"/>
      <c r="R360" s="62"/>
      <c r="S360" s="493" t="s">
        <v>300</v>
      </c>
      <c r="T360" s="32" t="s">
        <v>304</v>
      </c>
      <c r="U360" s="162">
        <f t="shared" si="144"/>
        <v>1.25</v>
      </c>
      <c r="V360" s="162">
        <f t="shared" si="145"/>
        <v>2.75</v>
      </c>
      <c r="W360" s="92">
        <f t="shared" si="146"/>
        <v>0.45454545454545453</v>
      </c>
      <c r="Z360" s="493" t="s">
        <v>300</v>
      </c>
      <c r="AA360" s="32" t="s">
        <v>304</v>
      </c>
      <c r="AB360" s="161">
        <f t="shared" si="139"/>
        <v>6.25E-2</v>
      </c>
    </row>
    <row r="361" spans="1:28" ht="15" thickBot="1" x14ac:dyDescent="0.4">
      <c r="A361" s="506"/>
      <c r="B361" s="13" t="s">
        <v>305</v>
      </c>
      <c r="C361" s="152">
        <f t="shared" si="140"/>
        <v>1</v>
      </c>
      <c r="D361" s="152">
        <f t="shared" si="140"/>
        <v>1</v>
      </c>
      <c r="E361" s="152">
        <f t="shared" si="140"/>
        <v>0</v>
      </c>
      <c r="F361" s="152">
        <f t="shared" si="140"/>
        <v>0</v>
      </c>
      <c r="G361" s="62"/>
      <c r="H361" s="506"/>
      <c r="I361" s="33" t="s">
        <v>305</v>
      </c>
      <c r="J361" s="91">
        <f t="shared" si="141"/>
        <v>1</v>
      </c>
      <c r="K361" s="90">
        <f t="shared" si="142"/>
        <v>2</v>
      </c>
      <c r="L361" s="92">
        <f t="shared" si="143"/>
        <v>0.5</v>
      </c>
      <c r="M361" s="495"/>
      <c r="N361" s="325"/>
      <c r="O361" s="325"/>
      <c r="P361" s="326"/>
      <c r="Q361" s="62"/>
      <c r="R361" s="62"/>
      <c r="S361" s="506"/>
      <c r="T361" s="33" t="s">
        <v>305</v>
      </c>
      <c r="U361" s="162">
        <f t="shared" si="144"/>
        <v>0.25</v>
      </c>
      <c r="V361" s="162">
        <f t="shared" si="145"/>
        <v>0.5</v>
      </c>
      <c r="W361" s="92">
        <f t="shared" si="146"/>
        <v>0.5</v>
      </c>
      <c r="Z361" s="506"/>
      <c r="AA361" s="33" t="s">
        <v>305</v>
      </c>
      <c r="AB361" s="161">
        <f t="shared" si="139"/>
        <v>1.1363636363636364E-2</v>
      </c>
    </row>
    <row r="362" spans="1:28" ht="15" thickBot="1" x14ac:dyDescent="0.4">
      <c r="A362" s="494"/>
      <c r="B362" s="36" t="s">
        <v>306</v>
      </c>
      <c r="C362" s="152">
        <f t="shared" si="140"/>
        <v>1</v>
      </c>
      <c r="D362" s="152">
        <f t="shared" si="140"/>
        <v>2</v>
      </c>
      <c r="E362" s="152">
        <f t="shared" si="140"/>
        <v>0</v>
      </c>
      <c r="F362" s="152">
        <f t="shared" si="140"/>
        <v>0</v>
      </c>
      <c r="G362" s="122"/>
      <c r="H362" s="494"/>
      <c r="I362" s="73" t="s">
        <v>306</v>
      </c>
      <c r="J362" s="91">
        <f t="shared" si="141"/>
        <v>1</v>
      </c>
      <c r="K362" s="90">
        <f t="shared" si="142"/>
        <v>3</v>
      </c>
      <c r="L362" s="92">
        <f t="shared" si="143"/>
        <v>0.33333333333333331</v>
      </c>
      <c r="M362" s="495"/>
      <c r="N362" s="325"/>
      <c r="O362" s="325"/>
      <c r="P362" s="326"/>
      <c r="Q362" s="62"/>
      <c r="R362" s="62"/>
      <c r="S362" s="494"/>
      <c r="T362" s="73" t="s">
        <v>306</v>
      </c>
      <c r="U362" s="162">
        <f t="shared" si="144"/>
        <v>0.25</v>
      </c>
      <c r="V362" s="162">
        <f t="shared" si="145"/>
        <v>0.75</v>
      </c>
      <c r="W362" s="92">
        <f t="shared" si="146"/>
        <v>0.33333333333333331</v>
      </c>
      <c r="Z362" s="494"/>
      <c r="AA362" s="73" t="s">
        <v>306</v>
      </c>
      <c r="AB362" s="161">
        <f t="shared" si="139"/>
        <v>1.7045454545454544E-2</v>
      </c>
    </row>
    <row r="363" spans="1:28" ht="15" thickBot="1" x14ac:dyDescent="0.4">
      <c r="A363" s="407" t="s">
        <v>146</v>
      </c>
      <c r="B363" s="87" t="s">
        <v>307</v>
      </c>
      <c r="C363" s="152">
        <f t="shared" si="140"/>
        <v>3</v>
      </c>
      <c r="D363" s="152">
        <f t="shared" si="140"/>
        <v>2</v>
      </c>
      <c r="E363" s="152">
        <f t="shared" si="140"/>
        <v>2</v>
      </c>
      <c r="F363" s="152">
        <f t="shared" si="140"/>
        <v>1</v>
      </c>
      <c r="G363" s="121"/>
      <c r="H363" s="407" t="s">
        <v>146</v>
      </c>
      <c r="I363" s="32" t="s">
        <v>307</v>
      </c>
      <c r="J363" s="91">
        <f t="shared" si="141"/>
        <v>3</v>
      </c>
      <c r="K363" s="90">
        <f t="shared" si="142"/>
        <v>7</v>
      </c>
      <c r="L363" s="92">
        <f t="shared" si="143"/>
        <v>0.42857142857142855</v>
      </c>
      <c r="M363" s="404" t="s">
        <v>146</v>
      </c>
      <c r="N363" s="319">
        <f>SUM(J363:J365)</f>
        <v>6</v>
      </c>
      <c r="O363" s="319">
        <f>SUM(K363:K365)</f>
        <v>23</v>
      </c>
      <c r="P363" s="322">
        <f>N363/O363</f>
        <v>0.2608695652173913</v>
      </c>
      <c r="Q363" s="62"/>
      <c r="R363" s="62"/>
      <c r="S363" s="407" t="s">
        <v>146</v>
      </c>
      <c r="T363" s="32" t="s">
        <v>307</v>
      </c>
      <c r="U363" s="162">
        <f t="shared" si="144"/>
        <v>0.75</v>
      </c>
      <c r="V363" s="162">
        <f t="shared" si="145"/>
        <v>1.75</v>
      </c>
      <c r="W363" s="92">
        <f t="shared" si="146"/>
        <v>0.42857142857142855</v>
      </c>
      <c r="Z363" s="407" t="s">
        <v>146</v>
      </c>
      <c r="AA363" s="32" t="s">
        <v>307</v>
      </c>
      <c r="AB363" s="161">
        <f t="shared" si="139"/>
        <v>3.9772727272727272E-2</v>
      </c>
    </row>
    <row r="364" spans="1:28" ht="15" thickBot="1" x14ac:dyDescent="0.4">
      <c r="A364" s="404"/>
      <c r="B364" s="13" t="s">
        <v>308</v>
      </c>
      <c r="C364" s="152">
        <f t="shared" si="140"/>
        <v>3</v>
      </c>
      <c r="D364" s="152">
        <f t="shared" si="140"/>
        <v>7</v>
      </c>
      <c r="E364" s="152">
        <f t="shared" si="140"/>
        <v>6</v>
      </c>
      <c r="F364" s="152">
        <f t="shared" si="140"/>
        <v>3</v>
      </c>
      <c r="G364" s="62"/>
      <c r="H364" s="404"/>
      <c r="I364" s="33" t="s">
        <v>308</v>
      </c>
      <c r="J364" s="91">
        <f t="shared" si="141"/>
        <v>3</v>
      </c>
      <c r="K364" s="90">
        <f t="shared" si="142"/>
        <v>16</v>
      </c>
      <c r="L364" s="92">
        <f t="shared" si="143"/>
        <v>0.1875</v>
      </c>
      <c r="M364" s="404"/>
      <c r="N364" s="325"/>
      <c r="O364" s="325"/>
      <c r="P364" s="326"/>
      <c r="Q364" s="62"/>
      <c r="R364" s="62"/>
      <c r="S364" s="404"/>
      <c r="T364" s="33" t="s">
        <v>308</v>
      </c>
      <c r="U364" s="162">
        <f t="shared" si="144"/>
        <v>0.75</v>
      </c>
      <c r="V364" s="162">
        <f t="shared" si="145"/>
        <v>4</v>
      </c>
      <c r="W364" s="92">
        <f t="shared" si="146"/>
        <v>0.1875</v>
      </c>
      <c r="Z364" s="404"/>
      <c r="AA364" s="33" t="s">
        <v>308</v>
      </c>
      <c r="AB364" s="161">
        <f t="shared" si="139"/>
        <v>9.0909090909090912E-2</v>
      </c>
    </row>
    <row r="365" spans="1:28" ht="15" thickBot="1" x14ac:dyDescent="0.4">
      <c r="A365" s="490"/>
      <c r="B365" s="36" t="s">
        <v>309</v>
      </c>
      <c r="C365" s="152">
        <f t="shared" si="140"/>
        <v>0</v>
      </c>
      <c r="D365" s="152">
        <f t="shared" si="140"/>
        <v>0</v>
      </c>
      <c r="E365" s="152">
        <f t="shared" si="140"/>
        <v>0</v>
      </c>
      <c r="F365" s="152">
        <f t="shared" si="140"/>
        <v>0</v>
      </c>
      <c r="G365" s="122"/>
      <c r="H365" s="490"/>
      <c r="I365" s="73" t="s">
        <v>309</v>
      </c>
      <c r="J365" s="91">
        <f t="shared" si="141"/>
        <v>0</v>
      </c>
      <c r="K365" s="90">
        <f t="shared" si="142"/>
        <v>0</v>
      </c>
      <c r="L365" s="92" t="e">
        <f t="shared" si="143"/>
        <v>#DIV/0!</v>
      </c>
      <c r="M365" s="404"/>
      <c r="N365" s="325"/>
      <c r="O365" s="325"/>
      <c r="P365" s="326"/>
      <c r="Q365" s="62"/>
      <c r="R365" s="62"/>
      <c r="S365" s="490"/>
      <c r="T365" s="73" t="s">
        <v>309</v>
      </c>
      <c r="U365" s="162">
        <f t="shared" si="144"/>
        <v>0</v>
      </c>
      <c r="V365" s="162">
        <f t="shared" si="145"/>
        <v>0</v>
      </c>
      <c r="W365" s="92" t="e">
        <f t="shared" si="146"/>
        <v>#DIV/0!</v>
      </c>
      <c r="Z365" s="490"/>
      <c r="AA365" s="73" t="s">
        <v>309</v>
      </c>
      <c r="AB365" s="161">
        <f t="shared" si="139"/>
        <v>0</v>
      </c>
    </row>
    <row r="366" spans="1:28" ht="15" customHeight="1" thickBot="1" x14ac:dyDescent="0.4">
      <c r="A366" s="493" t="s">
        <v>310</v>
      </c>
      <c r="B366" s="87" t="s">
        <v>22</v>
      </c>
      <c r="C366" s="152">
        <f t="shared" si="140"/>
        <v>0</v>
      </c>
      <c r="D366" s="152">
        <f t="shared" si="140"/>
        <v>0</v>
      </c>
      <c r="E366" s="152">
        <f t="shared" si="140"/>
        <v>0</v>
      </c>
      <c r="F366" s="152">
        <f t="shared" si="140"/>
        <v>0</v>
      </c>
      <c r="G366" s="121"/>
      <c r="H366" s="493" t="s">
        <v>310</v>
      </c>
      <c r="I366" s="32" t="s">
        <v>22</v>
      </c>
      <c r="J366" s="91">
        <f t="shared" si="141"/>
        <v>0</v>
      </c>
      <c r="K366" s="90">
        <f t="shared" si="142"/>
        <v>0</v>
      </c>
      <c r="L366" s="92" t="e">
        <f t="shared" si="143"/>
        <v>#DIV/0!</v>
      </c>
      <c r="M366" s="495" t="s">
        <v>310</v>
      </c>
      <c r="N366" s="319">
        <f>J366+J367</f>
        <v>13</v>
      </c>
      <c r="O366" s="319">
        <f>K366+K367</f>
        <v>17</v>
      </c>
      <c r="P366" s="322">
        <f>N366/O366</f>
        <v>0.76470588235294112</v>
      </c>
      <c r="Q366" s="62"/>
      <c r="R366" s="62"/>
      <c r="S366" s="493" t="s">
        <v>310</v>
      </c>
      <c r="T366" s="32" t="s">
        <v>22</v>
      </c>
      <c r="U366" s="162">
        <f t="shared" si="144"/>
        <v>0</v>
      </c>
      <c r="V366" s="162">
        <f t="shared" si="145"/>
        <v>0</v>
      </c>
      <c r="W366" s="92" t="e">
        <f t="shared" si="146"/>
        <v>#DIV/0!</v>
      </c>
      <c r="Z366" s="493" t="s">
        <v>310</v>
      </c>
      <c r="AA366" s="32" t="s">
        <v>22</v>
      </c>
      <c r="AB366" s="161">
        <f t="shared" si="139"/>
        <v>0</v>
      </c>
    </row>
    <row r="367" spans="1:28" ht="15" thickBot="1" x14ac:dyDescent="0.4">
      <c r="A367" s="494"/>
      <c r="B367" s="36" t="s">
        <v>12</v>
      </c>
      <c r="C367" s="152">
        <f t="shared" si="140"/>
        <v>13</v>
      </c>
      <c r="D367" s="152">
        <f t="shared" si="140"/>
        <v>4</v>
      </c>
      <c r="E367" s="152">
        <f t="shared" si="140"/>
        <v>0</v>
      </c>
      <c r="F367" s="152">
        <f t="shared" si="140"/>
        <v>2</v>
      </c>
      <c r="G367" s="122"/>
      <c r="H367" s="494"/>
      <c r="I367" s="73" t="s">
        <v>12</v>
      </c>
      <c r="J367" s="91">
        <f t="shared" si="141"/>
        <v>13</v>
      </c>
      <c r="K367" s="90">
        <f t="shared" si="142"/>
        <v>17</v>
      </c>
      <c r="L367" s="92">
        <f t="shared" si="143"/>
        <v>0.76470588235294112</v>
      </c>
      <c r="M367" s="495"/>
      <c r="N367" s="325"/>
      <c r="O367" s="325"/>
      <c r="P367" s="326"/>
      <c r="Q367" s="62"/>
      <c r="R367" s="62"/>
      <c r="S367" s="494"/>
      <c r="T367" s="73" t="s">
        <v>12</v>
      </c>
      <c r="U367" s="162">
        <f t="shared" si="144"/>
        <v>3.25</v>
      </c>
      <c r="V367" s="162">
        <f t="shared" si="145"/>
        <v>4.25</v>
      </c>
      <c r="W367" s="92">
        <f t="shared" si="146"/>
        <v>0.76470588235294112</v>
      </c>
      <c r="Z367" s="494"/>
      <c r="AA367" s="73" t="s">
        <v>12</v>
      </c>
      <c r="AB367" s="161">
        <f t="shared" si="139"/>
        <v>9.6590909090909088E-2</v>
      </c>
    </row>
    <row r="368" spans="1:28" ht="15" thickBot="1" x14ac:dyDescent="0.4">
      <c r="A368" s="488" t="s">
        <v>311</v>
      </c>
      <c r="B368" s="507"/>
      <c r="C368" s="152">
        <f t="shared" si="140"/>
        <v>92</v>
      </c>
      <c r="D368" s="152">
        <f t="shared" si="140"/>
        <v>51</v>
      </c>
      <c r="E368" s="152">
        <f t="shared" si="140"/>
        <v>33</v>
      </c>
      <c r="F368" s="152">
        <f t="shared" si="140"/>
        <v>6</v>
      </c>
      <c r="G368" s="123"/>
      <c r="H368" s="488" t="s">
        <v>311</v>
      </c>
      <c r="I368" s="489"/>
      <c r="J368" s="91">
        <f t="shared" si="141"/>
        <v>92</v>
      </c>
      <c r="K368" s="90">
        <f t="shared" si="142"/>
        <v>176</v>
      </c>
      <c r="L368" s="92">
        <f t="shared" si="143"/>
        <v>0.52272727272727271</v>
      </c>
      <c r="M368" s="324"/>
      <c r="N368" s="325"/>
      <c r="O368" s="325"/>
      <c r="P368" s="326"/>
      <c r="Q368" s="62"/>
      <c r="R368" s="62"/>
      <c r="S368" s="488" t="s">
        <v>311</v>
      </c>
      <c r="T368" s="489"/>
      <c r="U368" s="162">
        <f t="shared" si="144"/>
        <v>23</v>
      </c>
      <c r="V368" s="162">
        <f t="shared" si="145"/>
        <v>44</v>
      </c>
      <c r="W368" s="92">
        <f t="shared" si="146"/>
        <v>0.52272727272727271</v>
      </c>
      <c r="Z368" s="488" t="s">
        <v>311</v>
      </c>
      <c r="AA368" s="489"/>
      <c r="AB368" s="161">
        <f t="shared" si="139"/>
        <v>1</v>
      </c>
    </row>
    <row r="369" spans="1:23" ht="15" thickBot="1" x14ac:dyDescent="0.4">
      <c r="A369" s="94"/>
      <c r="B369" s="87" t="s">
        <v>59</v>
      </c>
      <c r="C369" s="152">
        <f t="shared" si="140"/>
        <v>14</v>
      </c>
      <c r="D369" s="152">
        <f t="shared" si="140"/>
        <v>1</v>
      </c>
      <c r="E369" s="152">
        <f t="shared" si="140"/>
        <v>1</v>
      </c>
      <c r="F369" s="152">
        <f t="shared" si="140"/>
        <v>0</v>
      </c>
      <c r="G369" s="508"/>
      <c r="H369" s="94"/>
      <c r="I369" s="32" t="s">
        <v>59</v>
      </c>
      <c r="J369" s="91">
        <f t="shared" si="141"/>
        <v>14</v>
      </c>
      <c r="K369" s="90">
        <f t="shared" si="142"/>
        <v>16</v>
      </c>
      <c r="L369" s="92">
        <f t="shared" si="143"/>
        <v>0.875</v>
      </c>
      <c r="M369" s="324"/>
      <c r="N369" s="325"/>
      <c r="O369" s="325"/>
      <c r="P369" s="326"/>
      <c r="Q369" s="62"/>
      <c r="R369" s="62"/>
      <c r="S369" s="94"/>
      <c r="T369" s="32" t="s">
        <v>59</v>
      </c>
      <c r="U369" s="162">
        <f t="shared" si="144"/>
        <v>3.5</v>
      </c>
      <c r="V369" s="162">
        <f t="shared" si="145"/>
        <v>4</v>
      </c>
      <c r="W369" s="92">
        <f t="shared" si="146"/>
        <v>0.875</v>
      </c>
    </row>
    <row r="370" spans="1:23" ht="15" thickBot="1" x14ac:dyDescent="0.4">
      <c r="A370" s="490" t="s">
        <v>312</v>
      </c>
      <c r="B370" s="510"/>
      <c r="C370" s="152">
        <f t="shared" si="140"/>
        <v>106</v>
      </c>
      <c r="D370" s="152">
        <f t="shared" si="140"/>
        <v>52</v>
      </c>
      <c r="E370" s="152">
        <f t="shared" si="140"/>
        <v>34</v>
      </c>
      <c r="F370" s="152">
        <f t="shared" si="140"/>
        <v>6</v>
      </c>
      <c r="G370" s="509"/>
      <c r="H370" s="490" t="s">
        <v>312</v>
      </c>
      <c r="I370" s="511"/>
      <c r="J370" s="91">
        <f t="shared" si="141"/>
        <v>106</v>
      </c>
      <c r="K370" s="90">
        <f t="shared" si="142"/>
        <v>192</v>
      </c>
      <c r="L370" s="92">
        <f t="shared" si="143"/>
        <v>0.55208333333333337</v>
      </c>
      <c r="M370" s="327"/>
      <c r="N370" s="328"/>
      <c r="O370" s="328"/>
      <c r="P370" s="329"/>
      <c r="Q370" s="122"/>
      <c r="R370" s="122"/>
      <c r="S370" s="490" t="s">
        <v>312</v>
      </c>
      <c r="T370" s="511"/>
      <c r="U370" s="162">
        <f t="shared" si="144"/>
        <v>26.5</v>
      </c>
      <c r="V370" s="162">
        <f t="shared" si="145"/>
        <v>48</v>
      </c>
      <c r="W370" s="92">
        <f t="shared" si="146"/>
        <v>0.55208333333333337</v>
      </c>
    </row>
  </sheetData>
  <mergeCells count="546">
    <mergeCell ref="H1:P1"/>
    <mergeCell ref="N27:P27"/>
    <mergeCell ref="N29:P29"/>
    <mergeCell ref="N31:P31"/>
    <mergeCell ref="N51:P51"/>
    <mergeCell ref="N53:P53"/>
    <mergeCell ref="N55:P55"/>
    <mergeCell ref="N76:P76"/>
    <mergeCell ref="M19:M20"/>
    <mergeCell ref="A1:F1"/>
    <mergeCell ref="H2:I2"/>
    <mergeCell ref="H3:H9"/>
    <mergeCell ref="H10:H12"/>
    <mergeCell ref="A3:A9"/>
    <mergeCell ref="A10:A12"/>
    <mergeCell ref="S16:S18"/>
    <mergeCell ref="S1:W1"/>
    <mergeCell ref="S2:T2"/>
    <mergeCell ref="S3:S9"/>
    <mergeCell ref="S10:S12"/>
    <mergeCell ref="S13:S15"/>
    <mergeCell ref="A16:A18"/>
    <mergeCell ref="A13:A15"/>
    <mergeCell ref="H13:H15"/>
    <mergeCell ref="H16:H18"/>
    <mergeCell ref="M3:M9"/>
    <mergeCell ref="M10:M12"/>
    <mergeCell ref="M13:M15"/>
    <mergeCell ref="M16:M18"/>
    <mergeCell ref="N3:P3"/>
    <mergeCell ref="N5:P5"/>
    <mergeCell ref="A2:B2"/>
    <mergeCell ref="N7:P7"/>
    <mergeCell ref="S19:S20"/>
    <mergeCell ref="S21:T21"/>
    <mergeCell ref="S23:T23"/>
    <mergeCell ref="G22:G23"/>
    <mergeCell ref="A21:B21"/>
    <mergeCell ref="A19:A20"/>
    <mergeCell ref="A23:B23"/>
    <mergeCell ref="M27:M33"/>
    <mergeCell ref="M34:M36"/>
    <mergeCell ref="S27:S33"/>
    <mergeCell ref="A34:A36"/>
    <mergeCell ref="H34:H36"/>
    <mergeCell ref="S34:S36"/>
    <mergeCell ref="A25:F25"/>
    <mergeCell ref="H25:L25"/>
    <mergeCell ref="S25:W25"/>
    <mergeCell ref="A26:B26"/>
    <mergeCell ref="H26:I26"/>
    <mergeCell ref="S26:T26"/>
    <mergeCell ref="H19:H20"/>
    <mergeCell ref="H21:I21"/>
    <mergeCell ref="H23:I23"/>
    <mergeCell ref="A27:A33"/>
    <mergeCell ref="H27:H33"/>
    <mergeCell ref="S43:S44"/>
    <mergeCell ref="A45:B45"/>
    <mergeCell ref="H45:I45"/>
    <mergeCell ref="S45:T45"/>
    <mergeCell ref="A37:A39"/>
    <mergeCell ref="H37:H39"/>
    <mergeCell ref="S37:S39"/>
    <mergeCell ref="A40:A42"/>
    <mergeCell ref="H40:H42"/>
    <mergeCell ref="S40:S42"/>
    <mergeCell ref="M37:M39"/>
    <mergeCell ref="M40:M42"/>
    <mergeCell ref="M43:M44"/>
    <mergeCell ref="A43:A44"/>
    <mergeCell ref="H43:H44"/>
    <mergeCell ref="S50:T50"/>
    <mergeCell ref="A51:A57"/>
    <mergeCell ref="H51:H57"/>
    <mergeCell ref="S51:S57"/>
    <mergeCell ref="G46:G47"/>
    <mergeCell ref="A47:B47"/>
    <mergeCell ref="H47:I47"/>
    <mergeCell ref="S47:T47"/>
    <mergeCell ref="A49:F49"/>
    <mergeCell ref="H49:L49"/>
    <mergeCell ref="S49:W49"/>
    <mergeCell ref="M51:M57"/>
    <mergeCell ref="A50:B50"/>
    <mergeCell ref="H50:I50"/>
    <mergeCell ref="S64:S66"/>
    <mergeCell ref="A67:A68"/>
    <mergeCell ref="H67:H68"/>
    <mergeCell ref="S67:S68"/>
    <mergeCell ref="A58:A60"/>
    <mergeCell ref="H58:H60"/>
    <mergeCell ref="S58:S60"/>
    <mergeCell ref="A61:A63"/>
    <mergeCell ref="H61:H63"/>
    <mergeCell ref="S61:S63"/>
    <mergeCell ref="M58:M60"/>
    <mergeCell ref="M61:M63"/>
    <mergeCell ref="M64:M66"/>
    <mergeCell ref="M67:M68"/>
    <mergeCell ref="A64:A66"/>
    <mergeCell ref="H64:H66"/>
    <mergeCell ref="S74:W74"/>
    <mergeCell ref="A75:B75"/>
    <mergeCell ref="H75:I75"/>
    <mergeCell ref="S75:T75"/>
    <mergeCell ref="A69:B69"/>
    <mergeCell ref="H69:I69"/>
    <mergeCell ref="S69:T69"/>
    <mergeCell ref="G70:G71"/>
    <mergeCell ref="A71:B71"/>
    <mergeCell ref="H71:I71"/>
    <mergeCell ref="S71:T71"/>
    <mergeCell ref="A74:F74"/>
    <mergeCell ref="H74:L74"/>
    <mergeCell ref="S86:S88"/>
    <mergeCell ref="A89:A91"/>
    <mergeCell ref="H89:H91"/>
    <mergeCell ref="S89:S91"/>
    <mergeCell ref="A76:A82"/>
    <mergeCell ref="H76:H82"/>
    <mergeCell ref="S76:S82"/>
    <mergeCell ref="A83:A85"/>
    <mergeCell ref="H83:H85"/>
    <mergeCell ref="S83:S85"/>
    <mergeCell ref="M76:M82"/>
    <mergeCell ref="M83:M85"/>
    <mergeCell ref="M86:M88"/>
    <mergeCell ref="M89:M91"/>
    <mergeCell ref="N78:P78"/>
    <mergeCell ref="N80:P80"/>
    <mergeCell ref="A86:A88"/>
    <mergeCell ref="H86:H88"/>
    <mergeCell ref="G95:G96"/>
    <mergeCell ref="A96:B96"/>
    <mergeCell ref="H96:I96"/>
    <mergeCell ref="S96:T96"/>
    <mergeCell ref="A99:F99"/>
    <mergeCell ref="H99:L99"/>
    <mergeCell ref="S99:W99"/>
    <mergeCell ref="A92:A93"/>
    <mergeCell ref="H92:H93"/>
    <mergeCell ref="S92:S93"/>
    <mergeCell ref="A94:B94"/>
    <mergeCell ref="H94:I94"/>
    <mergeCell ref="S94:T94"/>
    <mergeCell ref="M92:M93"/>
    <mergeCell ref="A108:A110"/>
    <mergeCell ref="H108:H110"/>
    <mergeCell ref="S108:S110"/>
    <mergeCell ref="A111:A113"/>
    <mergeCell ref="H111:H113"/>
    <mergeCell ref="S111:S113"/>
    <mergeCell ref="A100:B100"/>
    <mergeCell ref="H100:I100"/>
    <mergeCell ref="S100:T100"/>
    <mergeCell ref="A101:A107"/>
    <mergeCell ref="H101:H107"/>
    <mergeCell ref="S101:S107"/>
    <mergeCell ref="M101:M107"/>
    <mergeCell ref="M108:M110"/>
    <mergeCell ref="M111:M113"/>
    <mergeCell ref="N101:P101"/>
    <mergeCell ref="N103:P103"/>
    <mergeCell ref="N105:P105"/>
    <mergeCell ref="A119:B119"/>
    <mergeCell ref="H119:I119"/>
    <mergeCell ref="S119:T119"/>
    <mergeCell ref="G120:G121"/>
    <mergeCell ref="A121:B121"/>
    <mergeCell ref="H121:I121"/>
    <mergeCell ref="S121:T121"/>
    <mergeCell ref="A114:A116"/>
    <mergeCell ref="H114:H116"/>
    <mergeCell ref="S114:S116"/>
    <mergeCell ref="A117:A118"/>
    <mergeCell ref="H117:H118"/>
    <mergeCell ref="S117:S118"/>
    <mergeCell ref="M114:M116"/>
    <mergeCell ref="M117:M118"/>
    <mergeCell ref="A126:A132"/>
    <mergeCell ref="H126:H132"/>
    <mergeCell ref="S126:S132"/>
    <mergeCell ref="A133:A135"/>
    <mergeCell ref="H133:H135"/>
    <mergeCell ref="S133:S135"/>
    <mergeCell ref="A124:F124"/>
    <mergeCell ref="H124:L124"/>
    <mergeCell ref="S124:W124"/>
    <mergeCell ref="A125:B125"/>
    <mergeCell ref="H125:I125"/>
    <mergeCell ref="S125:T125"/>
    <mergeCell ref="M126:M132"/>
    <mergeCell ref="M133:M135"/>
    <mergeCell ref="N126:P126"/>
    <mergeCell ref="N128:P128"/>
    <mergeCell ref="N130:P130"/>
    <mergeCell ref="A142:A143"/>
    <mergeCell ref="H142:H143"/>
    <mergeCell ref="S142:S143"/>
    <mergeCell ref="A144:B144"/>
    <mergeCell ref="H144:I144"/>
    <mergeCell ref="S144:T144"/>
    <mergeCell ref="A136:A138"/>
    <mergeCell ref="H136:H138"/>
    <mergeCell ref="S136:S138"/>
    <mergeCell ref="A139:A141"/>
    <mergeCell ref="H139:H141"/>
    <mergeCell ref="S139:S141"/>
    <mergeCell ref="M136:M138"/>
    <mergeCell ref="M139:M141"/>
    <mergeCell ref="M142:M143"/>
    <mergeCell ref="A150:B150"/>
    <mergeCell ref="H150:I150"/>
    <mergeCell ref="S150:T150"/>
    <mergeCell ref="A151:A157"/>
    <mergeCell ref="H151:H157"/>
    <mergeCell ref="S151:S157"/>
    <mergeCell ref="G145:G146"/>
    <mergeCell ref="A146:B146"/>
    <mergeCell ref="H146:I146"/>
    <mergeCell ref="S146:T146"/>
    <mergeCell ref="A149:F149"/>
    <mergeCell ref="H149:L149"/>
    <mergeCell ref="S149:W149"/>
    <mergeCell ref="N151:P151"/>
    <mergeCell ref="N153:P153"/>
    <mergeCell ref="N155:P155"/>
    <mergeCell ref="M151:M157"/>
    <mergeCell ref="A164:A166"/>
    <mergeCell ref="H164:H166"/>
    <mergeCell ref="S164:S166"/>
    <mergeCell ref="A167:A168"/>
    <mergeCell ref="H167:H168"/>
    <mergeCell ref="S167:S168"/>
    <mergeCell ref="A158:A160"/>
    <mergeCell ref="H158:H160"/>
    <mergeCell ref="S158:S160"/>
    <mergeCell ref="A161:A163"/>
    <mergeCell ref="H161:H163"/>
    <mergeCell ref="S161:S163"/>
    <mergeCell ref="M158:M160"/>
    <mergeCell ref="M161:M163"/>
    <mergeCell ref="M164:M166"/>
    <mergeCell ref="M167:M168"/>
    <mergeCell ref="A174:F174"/>
    <mergeCell ref="H174:L174"/>
    <mergeCell ref="S174:W174"/>
    <mergeCell ref="A175:B175"/>
    <mergeCell ref="H175:I175"/>
    <mergeCell ref="S175:T175"/>
    <mergeCell ref="A169:B169"/>
    <mergeCell ref="H169:I169"/>
    <mergeCell ref="S169:T169"/>
    <mergeCell ref="G170:G171"/>
    <mergeCell ref="A171:B171"/>
    <mergeCell ref="H171:I171"/>
    <mergeCell ref="S171:T171"/>
    <mergeCell ref="A186:A188"/>
    <mergeCell ref="H186:H188"/>
    <mergeCell ref="S186:S188"/>
    <mergeCell ref="A189:A191"/>
    <mergeCell ref="H189:H191"/>
    <mergeCell ref="S189:S191"/>
    <mergeCell ref="A176:A182"/>
    <mergeCell ref="H176:H182"/>
    <mergeCell ref="S176:S182"/>
    <mergeCell ref="A183:A185"/>
    <mergeCell ref="H183:H185"/>
    <mergeCell ref="S183:S185"/>
    <mergeCell ref="M189:M191"/>
    <mergeCell ref="N176:P176"/>
    <mergeCell ref="N178:P178"/>
    <mergeCell ref="N180:P180"/>
    <mergeCell ref="M176:M182"/>
    <mergeCell ref="M183:M185"/>
    <mergeCell ref="M186:M188"/>
    <mergeCell ref="G195:G196"/>
    <mergeCell ref="A196:B196"/>
    <mergeCell ref="H196:I196"/>
    <mergeCell ref="S196:T196"/>
    <mergeCell ref="A199:F199"/>
    <mergeCell ref="H199:L199"/>
    <mergeCell ref="S199:W199"/>
    <mergeCell ref="A192:A193"/>
    <mergeCell ref="H192:H193"/>
    <mergeCell ref="S192:S193"/>
    <mergeCell ref="A194:B194"/>
    <mergeCell ref="H194:I194"/>
    <mergeCell ref="S194:T194"/>
    <mergeCell ref="M192:M193"/>
    <mergeCell ref="A208:A210"/>
    <mergeCell ref="H208:H210"/>
    <mergeCell ref="S208:S210"/>
    <mergeCell ref="A211:A213"/>
    <mergeCell ref="H211:H213"/>
    <mergeCell ref="S211:S213"/>
    <mergeCell ref="A200:B200"/>
    <mergeCell ref="H200:I200"/>
    <mergeCell ref="S200:T200"/>
    <mergeCell ref="A201:A207"/>
    <mergeCell ref="H201:H207"/>
    <mergeCell ref="S201:S207"/>
    <mergeCell ref="M201:M207"/>
    <mergeCell ref="M208:M210"/>
    <mergeCell ref="M211:M213"/>
    <mergeCell ref="N201:P201"/>
    <mergeCell ref="N203:P203"/>
    <mergeCell ref="N205:P205"/>
    <mergeCell ref="A219:B219"/>
    <mergeCell ref="H219:I219"/>
    <mergeCell ref="S219:T219"/>
    <mergeCell ref="G220:G221"/>
    <mergeCell ref="A221:B221"/>
    <mergeCell ref="H221:I221"/>
    <mergeCell ref="S221:T221"/>
    <mergeCell ref="A214:A216"/>
    <mergeCell ref="H214:H216"/>
    <mergeCell ref="S214:S216"/>
    <mergeCell ref="A217:A218"/>
    <mergeCell ref="H217:H218"/>
    <mergeCell ref="S217:S218"/>
    <mergeCell ref="M214:M216"/>
    <mergeCell ref="M217:M218"/>
    <mergeCell ref="A226:A232"/>
    <mergeCell ref="H226:H232"/>
    <mergeCell ref="S226:S232"/>
    <mergeCell ref="A233:A235"/>
    <mergeCell ref="H233:H235"/>
    <mergeCell ref="S233:S235"/>
    <mergeCell ref="A224:F224"/>
    <mergeCell ref="H224:L224"/>
    <mergeCell ref="S224:W224"/>
    <mergeCell ref="A225:B225"/>
    <mergeCell ref="H225:I225"/>
    <mergeCell ref="S225:T225"/>
    <mergeCell ref="M226:M232"/>
    <mergeCell ref="M233:M235"/>
    <mergeCell ref="N226:P226"/>
    <mergeCell ref="N228:P228"/>
    <mergeCell ref="N230:P230"/>
    <mergeCell ref="A242:A243"/>
    <mergeCell ref="H242:H243"/>
    <mergeCell ref="S242:S243"/>
    <mergeCell ref="A244:B244"/>
    <mergeCell ref="H244:I244"/>
    <mergeCell ref="S244:T244"/>
    <mergeCell ref="A236:A238"/>
    <mergeCell ref="H236:H238"/>
    <mergeCell ref="S236:S238"/>
    <mergeCell ref="A239:A241"/>
    <mergeCell ref="H239:H241"/>
    <mergeCell ref="S239:S241"/>
    <mergeCell ref="M236:M238"/>
    <mergeCell ref="M239:M241"/>
    <mergeCell ref="M242:M243"/>
    <mergeCell ref="A249:B249"/>
    <mergeCell ref="H249:I249"/>
    <mergeCell ref="S249:T249"/>
    <mergeCell ref="A250:A256"/>
    <mergeCell ref="H250:H256"/>
    <mergeCell ref="S250:S256"/>
    <mergeCell ref="G245:G246"/>
    <mergeCell ref="A246:B246"/>
    <mergeCell ref="H246:I246"/>
    <mergeCell ref="S246:T246"/>
    <mergeCell ref="A248:F248"/>
    <mergeCell ref="H248:L248"/>
    <mergeCell ref="S248:W248"/>
    <mergeCell ref="M250:M256"/>
    <mergeCell ref="N250:P250"/>
    <mergeCell ref="N252:P252"/>
    <mergeCell ref="N254:P254"/>
    <mergeCell ref="A263:A265"/>
    <mergeCell ref="H263:H265"/>
    <mergeCell ref="S263:S265"/>
    <mergeCell ref="A266:A267"/>
    <mergeCell ref="H266:H267"/>
    <mergeCell ref="S266:S267"/>
    <mergeCell ref="A257:A259"/>
    <mergeCell ref="H257:H259"/>
    <mergeCell ref="S257:S259"/>
    <mergeCell ref="A260:A262"/>
    <mergeCell ref="H260:H262"/>
    <mergeCell ref="S260:S262"/>
    <mergeCell ref="M257:M259"/>
    <mergeCell ref="M260:M262"/>
    <mergeCell ref="M263:M265"/>
    <mergeCell ref="M266:M267"/>
    <mergeCell ref="A273:F273"/>
    <mergeCell ref="H273:L273"/>
    <mergeCell ref="S273:W273"/>
    <mergeCell ref="A274:B274"/>
    <mergeCell ref="H274:I274"/>
    <mergeCell ref="S274:T274"/>
    <mergeCell ref="A268:B268"/>
    <mergeCell ref="H268:I268"/>
    <mergeCell ref="S268:T268"/>
    <mergeCell ref="G269:G270"/>
    <mergeCell ref="A270:B270"/>
    <mergeCell ref="H270:I270"/>
    <mergeCell ref="S270:T270"/>
    <mergeCell ref="A285:A287"/>
    <mergeCell ref="H285:H287"/>
    <mergeCell ref="S285:S287"/>
    <mergeCell ref="A288:A290"/>
    <mergeCell ref="H288:H290"/>
    <mergeCell ref="S288:S290"/>
    <mergeCell ref="A275:A281"/>
    <mergeCell ref="H275:H281"/>
    <mergeCell ref="S275:S281"/>
    <mergeCell ref="A282:A284"/>
    <mergeCell ref="H282:H284"/>
    <mergeCell ref="S282:S284"/>
    <mergeCell ref="M275:M281"/>
    <mergeCell ref="M282:M284"/>
    <mergeCell ref="M285:M287"/>
    <mergeCell ref="M288:M290"/>
    <mergeCell ref="N275:P275"/>
    <mergeCell ref="N277:P277"/>
    <mergeCell ref="N279:P279"/>
    <mergeCell ref="G294:G295"/>
    <mergeCell ref="A295:B295"/>
    <mergeCell ref="H295:I295"/>
    <mergeCell ref="S295:T295"/>
    <mergeCell ref="A298:F298"/>
    <mergeCell ref="H298:L298"/>
    <mergeCell ref="S298:W298"/>
    <mergeCell ref="A291:A292"/>
    <mergeCell ref="H291:H292"/>
    <mergeCell ref="S291:S292"/>
    <mergeCell ref="A293:B293"/>
    <mergeCell ref="H293:I293"/>
    <mergeCell ref="S293:T293"/>
    <mergeCell ref="M291:M292"/>
    <mergeCell ref="A307:A309"/>
    <mergeCell ref="H307:H309"/>
    <mergeCell ref="S307:S309"/>
    <mergeCell ref="A310:A312"/>
    <mergeCell ref="H310:H312"/>
    <mergeCell ref="S310:S312"/>
    <mergeCell ref="A299:B299"/>
    <mergeCell ref="H299:I299"/>
    <mergeCell ref="S299:T299"/>
    <mergeCell ref="A300:A306"/>
    <mergeCell ref="H300:H306"/>
    <mergeCell ref="S300:S306"/>
    <mergeCell ref="M300:M306"/>
    <mergeCell ref="M307:M309"/>
    <mergeCell ref="M310:M312"/>
    <mergeCell ref="N300:P300"/>
    <mergeCell ref="N302:P302"/>
    <mergeCell ref="N304:P304"/>
    <mergeCell ref="A318:B318"/>
    <mergeCell ref="H318:I318"/>
    <mergeCell ref="S318:T318"/>
    <mergeCell ref="G319:G320"/>
    <mergeCell ref="A320:B320"/>
    <mergeCell ref="H320:I320"/>
    <mergeCell ref="S320:T320"/>
    <mergeCell ref="A313:A315"/>
    <mergeCell ref="H313:H315"/>
    <mergeCell ref="S313:S315"/>
    <mergeCell ref="A316:A317"/>
    <mergeCell ref="H316:H317"/>
    <mergeCell ref="S316:S317"/>
    <mergeCell ref="M313:M315"/>
    <mergeCell ref="M316:M317"/>
    <mergeCell ref="A325:A331"/>
    <mergeCell ref="H325:H331"/>
    <mergeCell ref="S325:S331"/>
    <mergeCell ref="A332:A334"/>
    <mergeCell ref="H332:H334"/>
    <mergeCell ref="S332:S334"/>
    <mergeCell ref="A323:F323"/>
    <mergeCell ref="H323:L323"/>
    <mergeCell ref="S323:W323"/>
    <mergeCell ref="A324:B324"/>
    <mergeCell ref="H324:I324"/>
    <mergeCell ref="S324:T324"/>
    <mergeCell ref="M325:M331"/>
    <mergeCell ref="M332:M334"/>
    <mergeCell ref="N325:P325"/>
    <mergeCell ref="N327:P327"/>
    <mergeCell ref="N329:P329"/>
    <mergeCell ref="A341:A342"/>
    <mergeCell ref="H341:H342"/>
    <mergeCell ref="S341:S342"/>
    <mergeCell ref="A343:B343"/>
    <mergeCell ref="H343:I343"/>
    <mergeCell ref="S343:T343"/>
    <mergeCell ref="A335:A337"/>
    <mergeCell ref="H335:H337"/>
    <mergeCell ref="S335:S337"/>
    <mergeCell ref="A338:A340"/>
    <mergeCell ref="H338:H340"/>
    <mergeCell ref="S338:S340"/>
    <mergeCell ref="M335:M337"/>
    <mergeCell ref="M338:M340"/>
    <mergeCell ref="M341:M342"/>
    <mergeCell ref="A349:B349"/>
    <mergeCell ref="H349:I349"/>
    <mergeCell ref="S349:T349"/>
    <mergeCell ref="A350:A356"/>
    <mergeCell ref="H350:H356"/>
    <mergeCell ref="S350:S356"/>
    <mergeCell ref="G344:G345"/>
    <mergeCell ref="A345:B345"/>
    <mergeCell ref="H345:I345"/>
    <mergeCell ref="S345:T345"/>
    <mergeCell ref="A348:F348"/>
    <mergeCell ref="H348:L348"/>
    <mergeCell ref="S348:W348"/>
    <mergeCell ref="M350:M356"/>
    <mergeCell ref="N350:P350"/>
    <mergeCell ref="N352:P352"/>
    <mergeCell ref="N354:P354"/>
    <mergeCell ref="G369:G370"/>
    <mergeCell ref="A370:B370"/>
    <mergeCell ref="H370:I370"/>
    <mergeCell ref="S370:T370"/>
    <mergeCell ref="A363:A365"/>
    <mergeCell ref="H363:H365"/>
    <mergeCell ref="S363:S365"/>
    <mergeCell ref="A366:A367"/>
    <mergeCell ref="H366:H367"/>
    <mergeCell ref="S366:S367"/>
    <mergeCell ref="M363:M365"/>
    <mergeCell ref="M366:M367"/>
    <mergeCell ref="Z350:Z356"/>
    <mergeCell ref="Z357:Z359"/>
    <mergeCell ref="Z360:Z362"/>
    <mergeCell ref="Z363:Z365"/>
    <mergeCell ref="Z366:Z367"/>
    <mergeCell ref="Z368:AA368"/>
    <mergeCell ref="A368:B368"/>
    <mergeCell ref="H368:I368"/>
    <mergeCell ref="S368:T368"/>
    <mergeCell ref="A357:A359"/>
    <mergeCell ref="H357:H359"/>
    <mergeCell ref="S357:S359"/>
    <mergeCell ref="A360:A362"/>
    <mergeCell ref="H360:H362"/>
    <mergeCell ref="S360:S362"/>
    <mergeCell ref="M357:M359"/>
    <mergeCell ref="M360:M362"/>
  </mergeCells>
  <pageMargins left="0.7" right="0.7" top="0.75" bottom="0.75" header="0.3" footer="0.3"/>
  <pageSetup paperSize="9" orientation="portrait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91D84-CD4A-43BE-BEB1-8387D63FB90C}">
  <sheetPr codeName="Feuil16"/>
  <dimension ref="A1:AA21"/>
  <sheetViews>
    <sheetView tabSelected="1" zoomScale="70" zoomScaleNormal="70" workbookViewId="0">
      <selection activeCell="F7" sqref="F7"/>
    </sheetView>
  </sheetViews>
  <sheetFormatPr baseColWidth="10" defaultRowHeight="14.5" x14ac:dyDescent="0.35"/>
  <cols>
    <col min="1" max="1" width="20.81640625" customWidth="1"/>
    <col min="5" max="5" width="4.1796875" customWidth="1"/>
    <col min="6" max="6" width="6.36328125" customWidth="1"/>
    <col min="7" max="7" width="5.36328125" customWidth="1"/>
    <col min="8" max="8" width="5.90625" customWidth="1"/>
    <col min="9" max="9" width="5.81640625" customWidth="1"/>
    <col min="10" max="10" width="4.6328125" customWidth="1"/>
    <col min="11" max="11" width="5.54296875" customWidth="1"/>
    <col min="12" max="12" width="5.7265625" customWidth="1"/>
    <col min="13" max="13" width="5.453125" customWidth="1"/>
    <col min="14" max="14" width="5" customWidth="1"/>
    <col min="15" max="15" width="3.81640625" customWidth="1"/>
    <col min="16" max="16" width="6.6328125" customWidth="1"/>
    <col min="17" max="17" width="5.1796875" customWidth="1"/>
    <col min="18" max="18" width="4.6328125" customWidth="1"/>
    <col min="19" max="19" width="5.26953125" customWidth="1"/>
    <col min="20" max="20" width="4.7265625" customWidth="1"/>
    <col min="21" max="22" width="5.6328125" customWidth="1"/>
    <col min="23" max="23" width="5.81640625" customWidth="1"/>
    <col min="24" max="24" width="5" customWidth="1"/>
    <col min="25" max="25" width="5.90625" customWidth="1"/>
    <col min="26" max="26" width="5.36328125" customWidth="1"/>
    <col min="27" max="27" width="6.453125" customWidth="1"/>
  </cols>
  <sheetData>
    <row r="1" spans="1:27" x14ac:dyDescent="0.35">
      <c r="A1" s="407" t="s">
        <v>152</v>
      </c>
      <c r="B1" s="516"/>
      <c r="C1" s="516"/>
      <c r="D1" s="517"/>
      <c r="E1" s="407" t="s">
        <v>205</v>
      </c>
      <c r="F1" s="518"/>
      <c r="G1" s="518"/>
      <c r="H1" s="518"/>
      <c r="I1" s="518"/>
      <c r="J1" s="516"/>
      <c r="K1" s="408"/>
      <c r="L1" s="408"/>
      <c r="M1" s="408"/>
      <c r="N1" s="408"/>
      <c r="O1" s="517"/>
      <c r="P1" s="518" t="s">
        <v>206</v>
      </c>
      <c r="Q1" s="518"/>
      <c r="R1" s="518"/>
      <c r="S1" s="518"/>
      <c r="T1" s="518"/>
      <c r="U1" s="518"/>
      <c r="V1" s="518"/>
      <c r="W1" s="518"/>
      <c r="X1" s="516"/>
      <c r="Y1" s="408"/>
      <c r="Z1" s="408"/>
      <c r="AA1" s="517"/>
    </row>
    <row r="2" spans="1:27" ht="58.5" customHeight="1" thickBot="1" x14ac:dyDescent="0.4">
      <c r="A2" s="35"/>
      <c r="B2" s="36" t="s">
        <v>73</v>
      </c>
      <c r="C2" s="36" t="s">
        <v>74</v>
      </c>
      <c r="D2" s="73" t="s">
        <v>150</v>
      </c>
      <c r="E2" s="38" t="s">
        <v>164</v>
      </c>
      <c r="F2" s="39" t="s">
        <v>160</v>
      </c>
      <c r="G2" s="39" t="s">
        <v>166</v>
      </c>
      <c r="H2" s="39" t="s">
        <v>207</v>
      </c>
      <c r="I2" s="39" t="s">
        <v>169</v>
      </c>
      <c r="J2" s="40" t="s">
        <v>185</v>
      </c>
      <c r="K2" s="42" t="s">
        <v>208</v>
      </c>
      <c r="L2" s="41" t="s">
        <v>193</v>
      </c>
      <c r="M2" s="42" t="s">
        <v>351</v>
      </c>
      <c r="N2" s="42" t="s">
        <v>209</v>
      </c>
      <c r="O2" s="62"/>
      <c r="P2" s="39" t="s">
        <v>161</v>
      </c>
      <c r="Q2" s="39" t="s">
        <v>361</v>
      </c>
      <c r="R2" s="39" t="s">
        <v>196</v>
      </c>
      <c r="S2" s="39" t="s">
        <v>211</v>
      </c>
      <c r="T2" s="39" t="s">
        <v>191</v>
      </c>
      <c r="U2" s="39" t="s">
        <v>188</v>
      </c>
      <c r="V2" s="39" t="s">
        <v>210</v>
      </c>
      <c r="W2" s="39" t="s">
        <v>75</v>
      </c>
      <c r="X2" s="40" t="s">
        <v>153</v>
      </c>
      <c r="Y2" s="42" t="s">
        <v>165</v>
      </c>
      <c r="Z2" s="42" t="s">
        <v>209</v>
      </c>
      <c r="AA2" s="41" t="s">
        <v>349</v>
      </c>
    </row>
    <row r="3" spans="1:27" x14ac:dyDescent="0.35">
      <c r="A3" s="74" t="s">
        <v>432</v>
      </c>
      <c r="B3" s="75">
        <f>SUM(E3:N3)</f>
        <v>9</v>
      </c>
      <c r="C3" s="75">
        <f>SUM(P3:AA3)</f>
        <v>6</v>
      </c>
      <c r="D3" s="76">
        <f>B3/(B3+C3)</f>
        <v>0.6</v>
      </c>
      <c r="E3" s="311">
        <f>COUNTIFS('Données brutes'!M:M,"M inv +",'Données brutes'!E:E,"NAEMI")</f>
        <v>1</v>
      </c>
      <c r="F3" s="312">
        <f>COUNTIFS('Données brutes'!M:M,"contre",'Données brutes'!E:E,"NAEMI")</f>
        <v>0</v>
      </c>
      <c r="G3" s="312">
        <f>COUNTIFS('Données brutes'!M:M,"duel gagné",'Données brutes'!E:E,"NAEMI")</f>
        <v>1</v>
      </c>
      <c r="H3" s="312">
        <f>COUNTIFS('Données brutes'!M:M,"contournement pivot",'Données brutes'!E:E,"NAEMI")</f>
        <v>2</v>
      </c>
      <c r="I3" s="312">
        <f>COUNTIFS('Données brutes'!M:M,"entraide +",'Données brutes'!E:E,"NAEMI")</f>
        <v>0</v>
      </c>
      <c r="J3" s="312">
        <f>COUNTIFS('Données brutes'!M:M,"recup +",'Données brutes'!E:E,"NAEMI")</f>
        <v>1</v>
      </c>
      <c r="K3" s="312">
        <f>COUNTIFS('Données brutes'!M:M,"Enc taches et rep +",'Données brutes'!E:E,"NAEMI")</f>
        <v>0</v>
      </c>
      <c r="L3" s="313">
        <f>COUNTIFS('Données brutes'!M:M,"repli +",'Données brutes'!E:E,"NAEMI")</f>
        <v>1</v>
      </c>
      <c r="M3" s="313">
        <f>COUNTIFS('Données brutes'!M:M,"PF provoqué",'Données brutes'!E:E,"NAEMI")</f>
        <v>0</v>
      </c>
      <c r="N3" s="313">
        <f>COUNTIFS('Données brutes'!M:M,"Autres",'Données brutes'!E:E,"NAEMI")</f>
        <v>3</v>
      </c>
      <c r="O3" s="77">
        <f>COUNTIFS('Données brutes'!O:O,"repli +",'Données brutes'!G:G,"Pauline Dreyer")</f>
        <v>0</v>
      </c>
      <c r="P3" s="313">
        <f>COUNTIFS('Données brutes'!N:N,"M inv -",'Données brutes'!E:E,"NAEMI")</f>
        <v>0</v>
      </c>
      <c r="Q3" s="313">
        <f>COUNTIFS('Données brutes'!N:N,"duel perdu",'Données brutes'!E:E,"NAEMI")</f>
        <v>2</v>
      </c>
      <c r="R3" s="313">
        <f>COUNTIFS('Données brutes'!N:N,"Pb gestion pvt",'Données brutes'!E:E,"NAEMI")</f>
        <v>1</v>
      </c>
      <c r="S3" s="313">
        <f>COUNTIFS('Données brutes'!N:N,"repartition -",'Données brutes'!E:E,"NAEMI")</f>
        <v>1</v>
      </c>
      <c r="T3" s="313">
        <f>COUNTIFS('Données brutes'!N:N,"pas d'entraide",'Données brutes'!E:E,"NAEMI")</f>
        <v>0</v>
      </c>
      <c r="U3" s="313">
        <f>COUNTIFS('Données brutes'!N:N,"Sanction 2 ou R",'Données brutes'!E:E,"NAEMI")</f>
        <v>0</v>
      </c>
      <c r="V3" s="313">
        <f>COUNTIFS('Données brutes'!N:N,"surentraide",'Données brutes'!E:E,"NAEMI")</f>
        <v>0</v>
      </c>
      <c r="W3" s="313">
        <f>COUNTIFS('Données brutes'!N:N,"Repli -",'Données brutes'!E:E,"NAEMI")</f>
        <v>0</v>
      </c>
      <c r="X3" s="313">
        <f>COUNTIFS('Données brutes'!N:N,"Recup -",'Données brutes'!E:E,"NAEMI")</f>
        <v>0</v>
      </c>
      <c r="Y3" s="313">
        <f>COUNTIFS('Données brutes'!N:N,"Interception manqué",'Données brutes'!E:E,"NAEMI")</f>
        <v>1</v>
      </c>
      <c r="Z3" s="313">
        <f>COUNTIFS('Données brutes'!N:N,"Autres",'Données brutes'!E:E,"NAEMI")</f>
        <v>1</v>
      </c>
      <c r="AA3" s="313">
        <f>COUNTIFS('Données brutes'!N:N,"sort pas course int",'Données brutes'!E:E,"NAEMI")</f>
        <v>0</v>
      </c>
    </row>
    <row r="4" spans="1:27" x14ac:dyDescent="0.35">
      <c r="A4" s="16" t="s">
        <v>285</v>
      </c>
      <c r="B4" s="75">
        <f t="shared" ref="B4:B16" si="0">SUM(E4:N4)</f>
        <v>13</v>
      </c>
      <c r="C4" s="75">
        <f t="shared" ref="C4:C16" si="1">SUM(P4:AA4)</f>
        <v>6</v>
      </c>
      <c r="D4" s="78">
        <f t="shared" ref="D4:D16" si="2">B4/(B4+C4)</f>
        <v>0.68421052631578949</v>
      </c>
      <c r="E4" s="291">
        <f>COUNTIFS('Données brutes'!M:M,"M inv +",'Données brutes'!E:E,"SYRIANE")</f>
        <v>6</v>
      </c>
      <c r="F4" s="158">
        <f>COUNTIFS('Données brutes'!M:M,"contre",'Données brutes'!E:E,"SYRIANE")</f>
        <v>0</v>
      </c>
      <c r="G4" s="312">
        <f>COUNTIFS('Données brutes'!M:M,"duel gagné",'Données brutes'!E:E,"SYRIANE")</f>
        <v>2</v>
      </c>
      <c r="H4" s="312">
        <f>COUNTIFS('Données brutes'!M:M,"contournement pivot",'Données brutes'!E:E,"SYRIANE")</f>
        <v>0</v>
      </c>
      <c r="I4" s="312">
        <f>COUNTIFS('Données brutes'!M:M,"entraide +",'Données brutes'!E:E,"SYRIANE")</f>
        <v>0</v>
      </c>
      <c r="J4" s="312">
        <f>COUNTIFS('Données brutes'!M:M,"recup +",'Données brutes'!E:E,"SYRIANE")</f>
        <v>2</v>
      </c>
      <c r="K4" s="312">
        <f>COUNTIFS('Données brutes'!M:M,"Enc taches et rep +",'Données brutes'!E:E,"SYRIANE")</f>
        <v>3</v>
      </c>
      <c r="L4" s="313">
        <f>COUNTIFS('Données brutes'!M:M,"repli +",'Données brutes'!E:E,"SYRIANE")</f>
        <v>0</v>
      </c>
      <c r="M4" s="313">
        <f>COUNTIFS('Données brutes'!M:M,"PF provoqué",'Données brutes'!E:E,"SYRIANE")</f>
        <v>0</v>
      </c>
      <c r="N4" s="313">
        <f>COUNTIFS('Données brutes'!M:M,"Autres",'Données brutes'!E:E,"SYRIANE")</f>
        <v>0</v>
      </c>
      <c r="O4" s="62"/>
      <c r="P4" s="313">
        <f>COUNTIFS('Données brutes'!N:N,"M inv -",'Données brutes'!E:E,"SYRIANE")</f>
        <v>2</v>
      </c>
      <c r="Q4" s="313">
        <f>COUNTIFS('Données brutes'!N:N,"duel perdu",'Données brutes'!E:E,"SYRIANE")</f>
        <v>0</v>
      </c>
      <c r="R4" s="313">
        <f>COUNTIFS('Données brutes'!N:N,"Pb gestion pvt",'Données brutes'!E:E,"SYRIANE")</f>
        <v>0</v>
      </c>
      <c r="S4" s="313">
        <f>COUNTIFS('Données brutes'!N:N,"repartition -",'Données brutes'!E:E,"SYRIANE")</f>
        <v>0</v>
      </c>
      <c r="T4" s="313">
        <f>COUNTIFS('Données brutes'!N:N,"pas d'entraide",'Données brutes'!E:E,"SYRIANE")</f>
        <v>1</v>
      </c>
      <c r="U4" s="313">
        <f>COUNTIFS('Données brutes'!N:N,"Sanction 2 ou R",'Données brutes'!E:E,"SYRIANE")</f>
        <v>0</v>
      </c>
      <c r="V4" s="313">
        <f>COUNTIFS('Données brutes'!N:N,"surentraide",'Données brutes'!E:E,"SYRIANE")</f>
        <v>1</v>
      </c>
      <c r="W4" s="313">
        <f>COUNTIFS('Données brutes'!N:N,"Repli -",'Données brutes'!E:E,"SYRIANE")</f>
        <v>2</v>
      </c>
      <c r="X4" s="313">
        <f>COUNTIFS('Données brutes'!N:N,"Recup -",'Données brutes'!E:E,"SYRIANE")</f>
        <v>0</v>
      </c>
      <c r="Y4" s="313">
        <f>COUNTIFS('Données brutes'!N:N,"Interception manqué",'Données brutes'!E:E,"SYRIANE")</f>
        <v>0</v>
      </c>
      <c r="Z4" s="313">
        <f>COUNTIFS('Données brutes'!N:N,"Autres",'Données brutes'!E:E,"SYRIANE")</f>
        <v>0</v>
      </c>
      <c r="AA4" s="313">
        <f>COUNTIFS('Données brutes'!N:N,"sort pas course int",'Données brutes'!E:E,"SYRIANE")</f>
        <v>0</v>
      </c>
    </row>
    <row r="5" spans="1:27" x14ac:dyDescent="0.35">
      <c r="A5" s="16" t="s">
        <v>290</v>
      </c>
      <c r="B5" s="75">
        <f t="shared" si="0"/>
        <v>2</v>
      </c>
      <c r="C5" s="75">
        <f t="shared" si="1"/>
        <v>13</v>
      </c>
      <c r="D5" s="78">
        <f t="shared" si="2"/>
        <v>0.13333333333333333</v>
      </c>
      <c r="E5" s="291">
        <f>COUNTIFS('Données brutes'!M:M,"M inv +",'Données brutes'!E:E,"JULIE")</f>
        <v>0</v>
      </c>
      <c r="F5" s="158">
        <f>COUNTIFS('Données brutes'!M:M,"contre",'Données brutes'!E:E,"JULIE")</f>
        <v>0</v>
      </c>
      <c r="G5" s="312">
        <f>COUNTIFS('Données brutes'!M:M,"duel gagné",'Données brutes'!E:E,"JULIE")</f>
        <v>0</v>
      </c>
      <c r="H5" s="312">
        <f>COUNTIFS('Données brutes'!M:M,"contournement pivot",'Données brutes'!E:E,"JULIE")</f>
        <v>0</v>
      </c>
      <c r="I5" s="312">
        <f>COUNTIFS('Données brutes'!M:M,"entraide +",'Données brutes'!E:E,"JULIE")</f>
        <v>0</v>
      </c>
      <c r="J5" s="312">
        <f>COUNTIFS('Données brutes'!M:M,"recup +",'Données brutes'!E:E,"JULIE")</f>
        <v>2</v>
      </c>
      <c r="K5" s="312">
        <f>COUNTIFS('Données brutes'!M:M,"Enc taches et rep +",'Données brutes'!E:E,"JULIE")</f>
        <v>0</v>
      </c>
      <c r="L5" s="313">
        <f>COUNTIFS('Données brutes'!M:M,"repli +",'Données brutes'!E:E,"JULIE")</f>
        <v>0</v>
      </c>
      <c r="M5" s="313">
        <f>COUNTIFS('Données brutes'!M:M,"PF provoqué",'Données brutes'!E:E,"JULIE")</f>
        <v>0</v>
      </c>
      <c r="N5" s="313">
        <f>COUNTIFS('Données brutes'!M:M,"Autres",'Données brutes'!E:E,"JULIE")</f>
        <v>0</v>
      </c>
      <c r="O5" s="62"/>
      <c r="P5" s="313">
        <f>COUNTIFS('Données brutes'!N:N,"M inv -",'Données brutes'!E:E,"JULIE")</f>
        <v>8</v>
      </c>
      <c r="Q5" s="313">
        <f>COUNTIFS('Données brutes'!N:N,"duel perdu",'Données brutes'!E:E,"JULIE")</f>
        <v>1</v>
      </c>
      <c r="R5" s="313">
        <f>COUNTIFS('Données brutes'!N:N,"Pb gestion pvt",'Données brutes'!E:E,"JULIE")</f>
        <v>0</v>
      </c>
      <c r="S5" s="313">
        <f>COUNTIFS('Données brutes'!N:N,"repartition -",'Données brutes'!E:E,"JULIE")</f>
        <v>0</v>
      </c>
      <c r="T5" s="313">
        <f>COUNTIFS('Données brutes'!N:N,"pas d'entraide",'Données brutes'!E:E,"JULIE")</f>
        <v>3</v>
      </c>
      <c r="U5" s="313">
        <f>COUNTIFS('Données brutes'!N:N,"Sanction 2 ou R",'Données brutes'!E:E,"JULIE")</f>
        <v>0</v>
      </c>
      <c r="V5" s="313">
        <f>COUNTIFS('Données brutes'!N:N,"surentraide",'Données brutes'!E:E,"JULIE")</f>
        <v>1</v>
      </c>
      <c r="W5" s="313">
        <f>COUNTIFS('Données brutes'!N:N,"Repli -",'Données brutes'!E:E,"JULIE")</f>
        <v>0</v>
      </c>
      <c r="X5" s="313">
        <f>COUNTIFS('Données brutes'!N:N,"Recup -",'Données brutes'!E:E,"JULIE")</f>
        <v>0</v>
      </c>
      <c r="Y5" s="313">
        <f>COUNTIFS('Données brutes'!N:N,"Interception manqué",'Données brutes'!E:E,"JULIE")</f>
        <v>0</v>
      </c>
      <c r="Z5" s="313">
        <f>COUNTIFS('Données brutes'!N:N,"Autres",'Données brutes'!E:E,"JULIE")</f>
        <v>0</v>
      </c>
      <c r="AA5" s="313">
        <f>COUNTIFS('Données brutes'!N:N,"sort pas course int",'Données brutes'!E:E,"JULIE")</f>
        <v>0</v>
      </c>
    </row>
    <row r="6" spans="1:27" x14ac:dyDescent="0.35">
      <c r="A6" s="16" t="s">
        <v>291</v>
      </c>
      <c r="B6" s="75">
        <f t="shared" si="0"/>
        <v>5</v>
      </c>
      <c r="C6" s="75">
        <f t="shared" si="1"/>
        <v>7</v>
      </c>
      <c r="D6" s="78">
        <f t="shared" si="2"/>
        <v>0.41666666666666669</v>
      </c>
      <c r="E6" s="291">
        <f>COUNTIFS('Données brutes'!M:M,"M inv +",'Données brutes'!E:E,"CAMILLE T")</f>
        <v>4</v>
      </c>
      <c r="F6" s="158">
        <f>COUNTIFS('Données brutes'!M:M,"contre",'Données brutes'!E:E,"CAMILLE T")</f>
        <v>0</v>
      </c>
      <c r="G6" s="312">
        <f>COUNTIFS('Données brutes'!M:M,"duel gagné",'Données brutes'!E:E,"CAMILLE T")</f>
        <v>0</v>
      </c>
      <c r="H6" s="312">
        <f>COUNTIFS('Données brutes'!M:M,"contournement pivot",'Données brutes'!E:E,"CAMILLE T")</f>
        <v>0</v>
      </c>
      <c r="I6" s="312">
        <f>COUNTIFS('Données brutes'!M:M,"entraide +",'Données brutes'!E:E,"CAMILLE T")</f>
        <v>0</v>
      </c>
      <c r="J6" s="312">
        <f>COUNTIFS('Données brutes'!M:M,"recup +",'Données brutes'!E:E,"CAMILLE T")</f>
        <v>0</v>
      </c>
      <c r="K6" s="312">
        <f>COUNTIFS('Données brutes'!M:M,"Enc taches et rep +",'Données brutes'!E:E,"CAMILLE T")</f>
        <v>0</v>
      </c>
      <c r="L6" s="313">
        <f>COUNTIFS('Données brutes'!M:M,"repli +",'Données brutes'!E:E,"CAMILLE T")</f>
        <v>0</v>
      </c>
      <c r="M6" s="313">
        <f>COUNTIFS('Données brutes'!M:M,"PF provoqué",'Données brutes'!E:E,"CAMILLE T")</f>
        <v>0</v>
      </c>
      <c r="N6" s="313">
        <f>COUNTIFS('Données brutes'!M:M,"Autres",'Données brutes'!E:E,"CAMILLE T")</f>
        <v>1</v>
      </c>
      <c r="O6" s="62"/>
      <c r="P6" s="313">
        <f>COUNTIFS('Données brutes'!N:N,"M inv -",'Données brutes'!E:E,"CAMILLE T")</f>
        <v>4</v>
      </c>
      <c r="Q6" s="313">
        <f>COUNTIFS('Données brutes'!N:N,"duel perdu",'Données brutes'!E:E,"CAMILLE T")</f>
        <v>0</v>
      </c>
      <c r="R6" s="313">
        <f>COUNTIFS('Données brutes'!N:N,"Pb gestion pvt",'Données brutes'!E:E,"CAMILLE T")</f>
        <v>0</v>
      </c>
      <c r="S6" s="313">
        <f>COUNTIFS('Données brutes'!N:N,"repartition -",'Données brutes'!E:E,"CAMILLE T")</f>
        <v>0</v>
      </c>
      <c r="T6" s="313">
        <f>COUNTIFS('Données brutes'!N:N,"pas d'entraide",'Données brutes'!E:E,"CAMILLE T")</f>
        <v>1</v>
      </c>
      <c r="U6" s="313">
        <f>COUNTIFS('Données brutes'!N:N,"Sanction 2 ou R",'Données brutes'!E:E,"CAMILLE T")</f>
        <v>1</v>
      </c>
      <c r="V6" s="313">
        <f>COUNTIFS('Données brutes'!N:N,"surentraide",'Données brutes'!E:E,"CAMILLE T")</f>
        <v>0</v>
      </c>
      <c r="W6" s="313">
        <f>COUNTIFS('Données brutes'!N:N,"Repli -",'Données brutes'!E:E,"CAMILLE T")</f>
        <v>0</v>
      </c>
      <c r="X6" s="313">
        <f>COUNTIFS('Données brutes'!N:N,"Recup -",'Données brutes'!E:E,"CAMILLE T")</f>
        <v>1</v>
      </c>
      <c r="Y6" s="313">
        <f>COUNTIFS('Données brutes'!N:N,"Interception manqué",'Données brutes'!E:E,"CAMILLE T")</f>
        <v>0</v>
      </c>
      <c r="Z6" s="313">
        <f>COUNTIFS('Données brutes'!N:N,"Autres",'Données brutes'!E:E,"CAMILLE T")</f>
        <v>0</v>
      </c>
      <c r="AA6" s="313">
        <f>COUNTIFS('Données brutes'!N:N,"sort pas course int",'Données brutes'!E:E,"CAMILLE T")</f>
        <v>0</v>
      </c>
    </row>
    <row r="7" spans="1:27" x14ac:dyDescent="0.35">
      <c r="A7" s="16" t="s">
        <v>287</v>
      </c>
      <c r="B7" s="75">
        <f t="shared" si="0"/>
        <v>13</v>
      </c>
      <c r="C7" s="75">
        <f t="shared" si="1"/>
        <v>3</v>
      </c>
      <c r="D7" s="78">
        <f t="shared" si="2"/>
        <v>0.8125</v>
      </c>
      <c r="E7" s="291">
        <f>COUNTIFS('Données brutes'!M:M,"M inv +",'Données brutes'!E:E,"LEA")</f>
        <v>7</v>
      </c>
      <c r="F7" s="158">
        <f>COUNTIFS('Données brutes'!M:M,"contre",'Données brutes'!E:E,"LEA")</f>
        <v>0</v>
      </c>
      <c r="G7" s="312">
        <f>COUNTIFS('Données brutes'!M:M,"duel gagné",'Données brutes'!E:E,"LEA")</f>
        <v>1</v>
      </c>
      <c r="H7" s="312">
        <f>COUNTIFS('Données brutes'!M:M,"contournement pivot",'Données brutes'!E:E,"LEA")</f>
        <v>0</v>
      </c>
      <c r="I7" s="312">
        <f>COUNTIFS('Données brutes'!M:M,"entraide +",'Données brutes'!E:E,"LEA")</f>
        <v>1</v>
      </c>
      <c r="J7" s="312">
        <f>COUNTIFS('Données brutes'!M:M,"recup +",'Données brutes'!E:E,"LEA")</f>
        <v>0</v>
      </c>
      <c r="K7" s="312">
        <f>COUNTIFS('Données brutes'!M:M,"Enc taches et rep +",'Données brutes'!E:E,"LEA")</f>
        <v>0</v>
      </c>
      <c r="L7" s="313">
        <f>COUNTIFS('Données brutes'!M:M,"repli +",'Données brutes'!E:E,"LEA")</f>
        <v>4</v>
      </c>
      <c r="M7" s="313">
        <f>COUNTIFS('Données brutes'!M:M,"PF provoqué",'Données brutes'!E:E,"LEA")</f>
        <v>0</v>
      </c>
      <c r="N7" s="313">
        <f>COUNTIFS('Données brutes'!M:M,"Autres",'Données brutes'!E:E,"LEA")</f>
        <v>0</v>
      </c>
      <c r="O7" s="62"/>
      <c r="P7" s="313">
        <f>COUNTIFS('Données brutes'!N:N,"M inv -",'Données brutes'!E:E,"LEA")</f>
        <v>0</v>
      </c>
      <c r="Q7" s="313">
        <f>COUNTIFS('Données brutes'!N:N,"duel perdu",'Données brutes'!E:E,"LEA")</f>
        <v>1</v>
      </c>
      <c r="R7" s="313">
        <f>COUNTIFS('Données brutes'!N:N,"Pb gestion pvt",'Données brutes'!E:E,"LEA")</f>
        <v>1</v>
      </c>
      <c r="S7" s="313">
        <f>COUNTIFS('Données brutes'!N:N,"repartition -",'Données brutes'!E:E,"LEA")</f>
        <v>0</v>
      </c>
      <c r="T7" s="313">
        <f>COUNTIFS('Données brutes'!N:N,"pas d'entraide",'Données brutes'!E:E,"LEA")</f>
        <v>0</v>
      </c>
      <c r="U7" s="313">
        <f>COUNTIFS('Données brutes'!N:N,"Sanction 2 ou R",'Données brutes'!E:E,"LEA")</f>
        <v>0</v>
      </c>
      <c r="V7" s="313">
        <f>COUNTIFS('Données brutes'!N:N,"surentraide",'Données brutes'!E:E,"LEA")</f>
        <v>0</v>
      </c>
      <c r="W7" s="313">
        <f>COUNTIFS('Données brutes'!N:N,"Repli -",'Données brutes'!E:E,"LEA")</f>
        <v>0</v>
      </c>
      <c r="X7" s="313">
        <f>COUNTIFS('Données brutes'!N:N,"Recup -",'Données brutes'!E:E,"LEA")</f>
        <v>1</v>
      </c>
      <c r="Y7" s="313">
        <f>COUNTIFS('Données brutes'!N:N,"Interception manqué",'Données brutes'!E:E,"LEA")</f>
        <v>0</v>
      </c>
      <c r="Z7" s="313">
        <f>COUNTIFS('Données brutes'!N:N,"Autres",'Données brutes'!E:E,"LEA")</f>
        <v>0</v>
      </c>
      <c r="AA7" s="313">
        <f>COUNTIFS('Données brutes'!N:N,"sort pas course int",'Données brutes'!E:E,"LEA")</f>
        <v>0</v>
      </c>
    </row>
    <row r="8" spans="1:27" x14ac:dyDescent="0.35">
      <c r="A8" s="16" t="s">
        <v>288</v>
      </c>
      <c r="B8" s="75">
        <f t="shared" si="0"/>
        <v>8</v>
      </c>
      <c r="C8" s="75">
        <f t="shared" si="1"/>
        <v>1</v>
      </c>
      <c r="D8" s="78">
        <f t="shared" si="2"/>
        <v>0.88888888888888884</v>
      </c>
      <c r="E8" s="291">
        <f>COUNTIFS('Données brutes'!M:M,"M inv +",'Données brutes'!E:E,"MAELLE")</f>
        <v>1</v>
      </c>
      <c r="F8" s="158">
        <f>COUNTIFS('Données brutes'!M:M,"contre",'Données brutes'!E:E,"MAELLE")</f>
        <v>1</v>
      </c>
      <c r="G8" s="312">
        <f>COUNTIFS('Données brutes'!M:M,"duel gagné",'Données brutes'!E:E,"MAELLE")</f>
        <v>2</v>
      </c>
      <c r="H8" s="312">
        <f>COUNTIFS('Données brutes'!M:M,"contournement pivot",'Données brutes'!E:E,"MAELLE")</f>
        <v>0</v>
      </c>
      <c r="I8" s="312">
        <f>COUNTIFS('Données brutes'!M:M,"entraide +",'Données brutes'!E:E,"MAELLE")</f>
        <v>1</v>
      </c>
      <c r="J8" s="312">
        <f>COUNTIFS('Données brutes'!M:M,"recup +",'Données brutes'!E:E,"MAELLE")</f>
        <v>0</v>
      </c>
      <c r="K8" s="312">
        <f>COUNTIFS('Données brutes'!M:M,"Enc taches et rep +",'Données brutes'!E:E,"MAELLE")</f>
        <v>0</v>
      </c>
      <c r="L8" s="313">
        <f>COUNTIFS('Données brutes'!M:M,"repli +",'Données brutes'!E:E,"MAELLE")</f>
        <v>2</v>
      </c>
      <c r="M8" s="313">
        <f>COUNTIFS('Données brutes'!M:M,"PF provoqué",'Données brutes'!E:E,"MAELLE")</f>
        <v>0</v>
      </c>
      <c r="N8" s="313">
        <f>COUNTIFS('Données brutes'!M:M,"Autres",'Données brutes'!E:E,"MAELLE")</f>
        <v>1</v>
      </c>
      <c r="O8" s="62"/>
      <c r="P8" s="313">
        <f>COUNTIFS('Données brutes'!N:N,"M inv -",'Données brutes'!E:E,"MAELLE")</f>
        <v>1</v>
      </c>
      <c r="Q8" s="313">
        <f>COUNTIFS('Données brutes'!N:N,"duel perdu",'Données brutes'!E:E,"MAELLE")</f>
        <v>0</v>
      </c>
      <c r="R8" s="313">
        <f>COUNTIFS('Données brutes'!N:N,"Pb gestion pvt",'Données brutes'!E:E,"MAELLE")</f>
        <v>0</v>
      </c>
      <c r="S8" s="313">
        <f>COUNTIFS('Données brutes'!N:N,"repartition -",'Données brutes'!E:E,"MAELLE")</f>
        <v>0</v>
      </c>
      <c r="T8" s="313">
        <f>COUNTIFS('Données brutes'!N:N,"pas d'entraide",'Données brutes'!E:E,"MAELLE")</f>
        <v>0</v>
      </c>
      <c r="U8" s="313">
        <f>COUNTIFS('Données brutes'!N:N,"Sanction 2 ou R",'Données brutes'!E:E,"MAELLE")</f>
        <v>0</v>
      </c>
      <c r="V8" s="313">
        <f>COUNTIFS('Données brutes'!N:N,"surentraide",'Données brutes'!E:E,"MAELLE")</f>
        <v>0</v>
      </c>
      <c r="W8" s="313">
        <f>COUNTIFS('Données brutes'!N:N,"Repli -",'Données brutes'!E:E,"MAELLE")</f>
        <v>0</v>
      </c>
      <c r="X8" s="313">
        <f>COUNTIFS('Données brutes'!N:N,"Recup -",'Données brutes'!E:E,"MAELLE")</f>
        <v>0</v>
      </c>
      <c r="Y8" s="313">
        <f>COUNTIFS('Données brutes'!N:N,"Interception manqué",'Données brutes'!E:E,"MAELLE")</f>
        <v>0</v>
      </c>
      <c r="Z8" s="313">
        <f>COUNTIFS('Données brutes'!N:N,"Autres",'Données brutes'!E:E,"MAELLE")</f>
        <v>0</v>
      </c>
      <c r="AA8" s="313">
        <f>COUNTIFS('Données brutes'!N:N,"sort pas course int",'Données brutes'!E:E,"MAELLE")</f>
        <v>0</v>
      </c>
    </row>
    <row r="9" spans="1:27" x14ac:dyDescent="0.35">
      <c r="A9" s="16" t="s">
        <v>433</v>
      </c>
      <c r="B9" s="75">
        <f t="shared" si="0"/>
        <v>9</v>
      </c>
      <c r="C9" s="75">
        <f t="shared" si="1"/>
        <v>10</v>
      </c>
      <c r="D9" s="78">
        <f t="shared" si="2"/>
        <v>0.47368421052631576</v>
      </c>
      <c r="E9" s="291">
        <f>COUNTIFS('Données brutes'!M:M,"M inv +",'Données brutes'!E:E,"MATHILDE")</f>
        <v>2</v>
      </c>
      <c r="F9" s="158">
        <f>COUNTIFS('Données brutes'!M:M,"contre",'Données brutes'!E:E,"MATHILDE")</f>
        <v>0</v>
      </c>
      <c r="G9" s="312">
        <f>COUNTIFS('Données brutes'!M:M,"duel gagné",'Données brutes'!E:E,"MATHILDE")</f>
        <v>2</v>
      </c>
      <c r="H9" s="312">
        <f>COUNTIFS('Données brutes'!M:M,"contournement pivot",'Données brutes'!E:E,"MATHILDE")</f>
        <v>1</v>
      </c>
      <c r="I9" s="312">
        <f>COUNTIFS('Données brutes'!M:M,"entraide +",'Données brutes'!E:E,"MATHILDE")</f>
        <v>0</v>
      </c>
      <c r="J9" s="312">
        <f>COUNTIFS('Données brutes'!M:M,"recup +",'Données brutes'!E:E,"MATHILDE")</f>
        <v>1</v>
      </c>
      <c r="K9" s="312">
        <f>COUNTIFS('Données brutes'!M:M,"Enc taches et rep +",'Données brutes'!E:E,"MATHILDE")</f>
        <v>1</v>
      </c>
      <c r="L9" s="313">
        <f>COUNTIFS('Données brutes'!M:M,"repli +",'Données brutes'!E:E,"MATHILDE")</f>
        <v>1</v>
      </c>
      <c r="M9" s="313">
        <f>COUNTIFS('Données brutes'!M:M,"PF provoqué",'Données brutes'!E:E,"MATHILDE")</f>
        <v>0</v>
      </c>
      <c r="N9" s="313">
        <f>COUNTIFS('Données brutes'!M:M,"Autres",'Données brutes'!E:E,"MATHILDE")</f>
        <v>1</v>
      </c>
      <c r="O9" s="62"/>
      <c r="P9" s="313">
        <f>COUNTIFS('Données brutes'!N:N,"M inv -",'Données brutes'!E:E,"MATHILDE")</f>
        <v>2</v>
      </c>
      <c r="Q9" s="313">
        <f>COUNTIFS('Données brutes'!N:N,"duel perdu",'Données brutes'!E:E,"MATHILDE")</f>
        <v>3</v>
      </c>
      <c r="R9" s="313">
        <f>COUNTIFS('Données brutes'!N:N,"Pb gestion pvt",'Données brutes'!E:E,"MATHILDE")</f>
        <v>2</v>
      </c>
      <c r="S9" s="313">
        <f>COUNTIFS('Données brutes'!N:N,"repartition -",'Données brutes'!E:E,"MATHILDE")</f>
        <v>0</v>
      </c>
      <c r="T9" s="313">
        <f>COUNTIFS('Données brutes'!N:N,"pas d'entraide",'Données brutes'!E:E,"MATHILDE")</f>
        <v>0</v>
      </c>
      <c r="U9" s="313">
        <f>COUNTIFS('Données brutes'!N:N,"Sanction 2 ou R",'Données brutes'!E:E,"MATHILDE")</f>
        <v>0</v>
      </c>
      <c r="V9" s="313">
        <f>COUNTIFS('Données brutes'!N:N,"surentraide",'Données brutes'!E:E,"MATHILDE")</f>
        <v>0</v>
      </c>
      <c r="W9" s="313">
        <f>COUNTIFS('Données brutes'!N:N,"Repli -",'Données brutes'!E:E,"MATHILDE")</f>
        <v>0</v>
      </c>
      <c r="X9" s="313">
        <f>COUNTIFS('Données brutes'!N:N,"Recup -",'Données brutes'!E:E,"MATHILDE")</f>
        <v>0</v>
      </c>
      <c r="Y9" s="313">
        <f>COUNTIFS('Données brutes'!N:N,"Interception manqué",'Données brutes'!E:E,"MATHILDE")</f>
        <v>0</v>
      </c>
      <c r="Z9" s="313">
        <f>COUNTIFS('Données brutes'!N:N,"Autres",'Données brutes'!E:E,"MATHILDE")</f>
        <v>2</v>
      </c>
      <c r="AA9" s="313">
        <f>COUNTIFS('Données brutes'!N:N,"sort pas course int",'Données brutes'!E:E,"MATHILDE")</f>
        <v>1</v>
      </c>
    </row>
    <row r="10" spans="1:27" x14ac:dyDescent="0.35">
      <c r="A10" s="16" t="s">
        <v>289</v>
      </c>
      <c r="B10" s="75">
        <f t="shared" si="0"/>
        <v>14</v>
      </c>
      <c r="C10" s="75">
        <f t="shared" si="1"/>
        <v>7</v>
      </c>
      <c r="D10" s="78">
        <f t="shared" si="2"/>
        <v>0.66666666666666663</v>
      </c>
      <c r="E10" s="291">
        <f>COUNTIFS('Données brutes'!M:M,"M inv +",'Données brutes'!E:E,"KIM")</f>
        <v>4</v>
      </c>
      <c r="F10" s="158">
        <f>COUNTIFS('Données brutes'!M:M,"contre",'Données brutes'!E:E,"KIM")</f>
        <v>0</v>
      </c>
      <c r="G10" s="312">
        <f>COUNTIFS('Données brutes'!M:M,"duel gagné",'Données brutes'!E:E,"KIM")</f>
        <v>2</v>
      </c>
      <c r="H10" s="312">
        <f>COUNTIFS('Données brutes'!M:M,"contournement pivot",'Données brutes'!E:E,"KIM")</f>
        <v>2</v>
      </c>
      <c r="I10" s="312">
        <f>COUNTIFS('Données brutes'!M:M,"entraide +",'Données brutes'!E:E,"KIM")</f>
        <v>1</v>
      </c>
      <c r="J10" s="312">
        <f>COUNTIFS('Données brutes'!M:M,"recup +",'Données brutes'!E:E,"KIM")</f>
        <v>1</v>
      </c>
      <c r="K10" s="312">
        <f>COUNTIFS('Données brutes'!M:M,"Enc taches et rep +",'Données brutes'!E:E,"KIM")</f>
        <v>0</v>
      </c>
      <c r="L10" s="313">
        <f>COUNTIFS('Données brutes'!M:M,"repli +",'Données brutes'!E:E,"KIM")</f>
        <v>4</v>
      </c>
      <c r="M10" s="313">
        <f>COUNTIFS('Données brutes'!M:M,"PF provoqué",'Données brutes'!E:E,"KIM")</f>
        <v>0</v>
      </c>
      <c r="N10" s="313">
        <f>COUNTIFS('Données brutes'!M:M,"Autres",'Données brutes'!E:E,"KIM")</f>
        <v>0</v>
      </c>
      <c r="O10" s="62"/>
      <c r="P10" s="313">
        <f>COUNTIFS('Données brutes'!N:N,"M inv -",'Données brutes'!E:E,"KIM")</f>
        <v>1</v>
      </c>
      <c r="Q10" s="313">
        <f>COUNTIFS('Données brutes'!N:N,"duel perdu",'Données brutes'!E:E,"KIM")</f>
        <v>3</v>
      </c>
      <c r="R10" s="313">
        <f>COUNTIFS('Données brutes'!N:N,"Pb gestion pvt",'Données brutes'!E:E,"KIM")</f>
        <v>1</v>
      </c>
      <c r="S10" s="313">
        <f>COUNTIFS('Données brutes'!N:N,"repartition -",'Données brutes'!E:E,"KIM")</f>
        <v>0</v>
      </c>
      <c r="T10" s="313">
        <f>COUNTIFS('Données brutes'!N:N,"pas d'entraide",'Données brutes'!E:E,"KIM")</f>
        <v>1</v>
      </c>
      <c r="U10" s="313">
        <f>COUNTIFS('Données brutes'!N:N,"Sanction 2 ou R",'Données brutes'!E:E,"KIM")</f>
        <v>0</v>
      </c>
      <c r="V10" s="313">
        <f>COUNTIFS('Données brutes'!N:N,"surentraide",'Données brutes'!E:E,"KIM")</f>
        <v>0</v>
      </c>
      <c r="W10" s="313">
        <f>COUNTIFS('Données brutes'!N:N,"Repli -",'Données brutes'!E:E,"KIM")</f>
        <v>1</v>
      </c>
      <c r="X10" s="313">
        <f>COUNTIFS('Données brutes'!N:N,"Recup -",'Données brutes'!E:E,"KIM")</f>
        <v>0</v>
      </c>
      <c r="Y10" s="313">
        <f>COUNTIFS('Données brutes'!N:N,"Interception manqué",'Données brutes'!E:E,"KIM")</f>
        <v>0</v>
      </c>
      <c r="Z10" s="313">
        <f>COUNTIFS('Données brutes'!N:N,"Autres",'Données brutes'!E:E,"KIM")</f>
        <v>0</v>
      </c>
      <c r="AA10" s="313">
        <f>COUNTIFS('Données brutes'!N:N,"sort pas course int",'Données brutes'!E:E,"KIM")</f>
        <v>0</v>
      </c>
    </row>
    <row r="11" spans="1:27" x14ac:dyDescent="0.35">
      <c r="A11" s="16" t="s">
        <v>293</v>
      </c>
      <c r="B11" s="75">
        <f t="shared" si="0"/>
        <v>0</v>
      </c>
      <c r="C11" s="75">
        <f t="shared" si="1"/>
        <v>0</v>
      </c>
      <c r="D11" s="78" t="e">
        <f t="shared" si="2"/>
        <v>#DIV/0!</v>
      </c>
      <c r="E11" s="291">
        <f>COUNTIFS('Données brutes'!M:M,"M inv +",'Données brutes'!E:E,"INES")</f>
        <v>0</v>
      </c>
      <c r="F11" s="158">
        <f>COUNTIFS('Données brutes'!M:M,"contre",'Données brutes'!E:E,"INES")</f>
        <v>0</v>
      </c>
      <c r="G11" s="312">
        <f>COUNTIFS('Données brutes'!M:M,"duel gagné",'Données brutes'!E:E,"INES")</f>
        <v>0</v>
      </c>
      <c r="H11" s="312">
        <f>COUNTIFS('Données brutes'!M:M,"contournement pivot",'Données brutes'!E:E,"INES")</f>
        <v>0</v>
      </c>
      <c r="I11" s="312">
        <f>COUNTIFS('Données brutes'!M:M,"entraide +",'Données brutes'!E:E,"INES")</f>
        <v>0</v>
      </c>
      <c r="J11" s="312">
        <f>COUNTIFS('Données brutes'!M:M,"recup +",'Données brutes'!E:E,"INES")</f>
        <v>0</v>
      </c>
      <c r="K11" s="312">
        <f>COUNTIFS('Données brutes'!M:M,"Enc taches et rep +",'Données brutes'!E:E,"INES")</f>
        <v>0</v>
      </c>
      <c r="L11" s="313">
        <f>COUNTIFS('Données brutes'!M:M,"repli +",'Données brutes'!E:E,"INES")</f>
        <v>0</v>
      </c>
      <c r="M11" s="313">
        <f>COUNTIFS('Données brutes'!M:M,"PF provoqué",'Données brutes'!E:E,"INES")</f>
        <v>0</v>
      </c>
      <c r="N11" s="313">
        <f>COUNTIFS('Données brutes'!M:M,"Autres",'Données brutes'!E:E,"INES")</f>
        <v>0</v>
      </c>
      <c r="O11" s="62"/>
      <c r="P11" s="313">
        <f>COUNTIFS('Données brutes'!N:N,"M inv -",'Données brutes'!E:E,"INES")</f>
        <v>0</v>
      </c>
      <c r="Q11" s="313">
        <f>COUNTIFS('Données brutes'!N:N,"duel perdu",'Données brutes'!E:E,"INES")</f>
        <v>0</v>
      </c>
      <c r="R11" s="313">
        <f>COUNTIFS('Données brutes'!N:N,"Pb gestion pvt",'Données brutes'!E:E,"INES")</f>
        <v>0</v>
      </c>
      <c r="S11" s="313">
        <f>COUNTIFS('Données brutes'!N:N,"repartition -",'Données brutes'!E:E,"INES")</f>
        <v>0</v>
      </c>
      <c r="T11" s="313">
        <f>COUNTIFS('Données brutes'!N:N,"pas d'entraide",'Données brutes'!E:E,"INES")</f>
        <v>0</v>
      </c>
      <c r="U11" s="313">
        <f>COUNTIFS('Données brutes'!N:N,"Sanction 2 ou R",'Données brutes'!E:E,"INES")</f>
        <v>0</v>
      </c>
      <c r="V11" s="313">
        <f>COUNTIFS('Données brutes'!N:N,"surentraide",'Données brutes'!E:E,"INES")</f>
        <v>0</v>
      </c>
      <c r="W11" s="313">
        <f>COUNTIFS('Données brutes'!N:N,"Repli -",'Données brutes'!E:E,"INES")</f>
        <v>0</v>
      </c>
      <c r="X11" s="313">
        <f>COUNTIFS('Données brutes'!N:N,"Recup -",'Données brutes'!E:E,"INES")</f>
        <v>0</v>
      </c>
      <c r="Y11" s="313">
        <f>COUNTIFS('Données brutes'!N:N,"Interception manqué",'Données brutes'!E:E,"INES")</f>
        <v>0</v>
      </c>
      <c r="Z11" s="313">
        <f>COUNTIFS('Données brutes'!N:N,"Autres",'Données brutes'!E:E,"INES")</f>
        <v>0</v>
      </c>
      <c r="AA11" s="313">
        <f>COUNTIFS('Données brutes'!N:N,"sort pas course int",'Données brutes'!E:E,"INES")</f>
        <v>0</v>
      </c>
    </row>
    <row r="12" spans="1:27" x14ac:dyDescent="0.35">
      <c r="A12" s="16" t="s">
        <v>292</v>
      </c>
      <c r="B12" s="75">
        <f t="shared" si="0"/>
        <v>6</v>
      </c>
      <c r="C12" s="75">
        <f t="shared" si="1"/>
        <v>13</v>
      </c>
      <c r="D12" s="78">
        <f t="shared" si="2"/>
        <v>0.31578947368421051</v>
      </c>
      <c r="E12" s="291">
        <f>COUNTIFS('Données brutes'!M:M,"M inv +",'Données brutes'!E:E,"MAELYS")</f>
        <v>0</v>
      </c>
      <c r="F12" s="158">
        <f>COUNTIFS('Données brutes'!M:M,"contre",'Données brutes'!E:E,"MAELYS")</f>
        <v>0</v>
      </c>
      <c r="G12" s="312">
        <f>COUNTIFS('Données brutes'!M:M,"duel gagné",'Données brutes'!E:E,"MAELYS")</f>
        <v>2</v>
      </c>
      <c r="H12" s="312">
        <f>COUNTIFS('Données brutes'!M:M,"contournement pivot",'Données brutes'!E:E,"MAELYS")</f>
        <v>1</v>
      </c>
      <c r="I12" s="312">
        <f>COUNTIFS('Données brutes'!M:M,"entraide +",'Données brutes'!E:E,"MAELYS")</f>
        <v>0</v>
      </c>
      <c r="J12" s="312">
        <f>COUNTIFS('Données brutes'!M:M,"recup +",'Données brutes'!E:E,"MAELYS")</f>
        <v>0</v>
      </c>
      <c r="K12" s="312">
        <f>COUNTIFS('Données brutes'!M:M,"Enc taches et rep +",'Données brutes'!E:E,"MAELYS")</f>
        <v>3</v>
      </c>
      <c r="L12" s="313">
        <f>COUNTIFS('Données brutes'!M:M,"repli +",'Données brutes'!E:E,"MAELYS")</f>
        <v>0</v>
      </c>
      <c r="M12" s="313">
        <f>COUNTIFS('Données brutes'!M:M,"PF provoqué",'Données brutes'!E:E,"MAELYS")</f>
        <v>0</v>
      </c>
      <c r="N12" s="313">
        <f>COUNTIFS('Données brutes'!M:M,"Autres",'Données brutes'!E:E,"MAELYS")</f>
        <v>0</v>
      </c>
      <c r="O12" s="62"/>
      <c r="P12" s="313">
        <f>COUNTIFS('Données brutes'!N:N,"M inv -",'Données brutes'!E:E,"MAELYS")</f>
        <v>0</v>
      </c>
      <c r="Q12" s="313">
        <f>COUNTIFS('Données brutes'!N:N,"duel perdu",'Données brutes'!E:E,"MAELYS")</f>
        <v>2</v>
      </c>
      <c r="R12" s="313">
        <f>COUNTIFS('Données brutes'!N:N,"Pb gestion pvt",'Données brutes'!E:E,"MAELYS")</f>
        <v>5</v>
      </c>
      <c r="S12" s="313">
        <f>COUNTIFS('Données brutes'!N:N,"repartition -",'Données brutes'!E:E,"MAELYS")</f>
        <v>1</v>
      </c>
      <c r="T12" s="313">
        <f>COUNTIFS('Données brutes'!N:N,"pas d'entraide",'Données brutes'!E:E,"MAELYS")</f>
        <v>2</v>
      </c>
      <c r="U12" s="313">
        <f>COUNTIFS('Données brutes'!N:N,"Sanction 2 ou R",'Données brutes'!E:E,"MAELYS")</f>
        <v>0</v>
      </c>
      <c r="V12" s="313">
        <f>COUNTIFS('Données brutes'!N:N,"surentraide",'Données brutes'!E:E,"MAELYS")</f>
        <v>0</v>
      </c>
      <c r="W12" s="313">
        <f>COUNTIFS('Données brutes'!N:N,"Repli -",'Données brutes'!E:E,"MAELYS")</f>
        <v>2</v>
      </c>
      <c r="X12" s="313">
        <f>COUNTIFS('Données brutes'!N:N,"Recup -",'Données brutes'!E:E,"MAELYS")</f>
        <v>0</v>
      </c>
      <c r="Y12" s="313">
        <f>COUNTIFS('Données brutes'!N:N,"Interception manqué",'Données brutes'!E:E,"MAELYS")</f>
        <v>0</v>
      </c>
      <c r="Z12" s="313">
        <f>COUNTIFS('Données brutes'!N:N,"Autres",'Données brutes'!E:E,"MAELYS")</f>
        <v>0</v>
      </c>
      <c r="AA12" s="313">
        <f>COUNTIFS('Données brutes'!N:N,"sort pas course int",'Données brutes'!E:E,"MAELYS")</f>
        <v>1</v>
      </c>
    </row>
    <row r="13" spans="1:27" x14ac:dyDescent="0.35">
      <c r="A13" s="16" t="s">
        <v>286</v>
      </c>
      <c r="B13" s="75">
        <f t="shared" si="0"/>
        <v>14</v>
      </c>
      <c r="C13" s="75">
        <f t="shared" si="1"/>
        <v>5</v>
      </c>
      <c r="D13" s="78">
        <f t="shared" si="2"/>
        <v>0.73684210526315785</v>
      </c>
      <c r="E13" s="291">
        <f>COUNTIFS('Données brutes'!M:M,"M inv +",'Données brutes'!E:E,"HANA")</f>
        <v>0</v>
      </c>
      <c r="F13" s="158">
        <f>COUNTIFS('Données brutes'!M:M,"contre",'Données brutes'!E:E,"HANA")</f>
        <v>1</v>
      </c>
      <c r="G13" s="312">
        <f>COUNTIFS('Données brutes'!M:M,"duel gagné",'Données brutes'!E:E,"HANA")</f>
        <v>5</v>
      </c>
      <c r="H13" s="312">
        <f>COUNTIFS('Données brutes'!M:M,"contournement pivot",'Données brutes'!E:E,"HANA")</f>
        <v>2</v>
      </c>
      <c r="I13" s="312">
        <f>COUNTIFS('Données brutes'!M:M,"entraide +",'Données brutes'!E:E,"HANA")</f>
        <v>1</v>
      </c>
      <c r="J13" s="312">
        <f>COUNTIFS('Données brutes'!M:M,"recup +",'Données brutes'!E:E,"HANA")</f>
        <v>0</v>
      </c>
      <c r="K13" s="312">
        <f>COUNTIFS('Données brutes'!M:M,"Enc taches et rep +",'Données brutes'!E:E,"HANA")</f>
        <v>3</v>
      </c>
      <c r="L13" s="313">
        <f>COUNTIFS('Données brutes'!M:M,"repli +",'Données brutes'!E:E,"HANA")</f>
        <v>2</v>
      </c>
      <c r="M13" s="313">
        <f>COUNTIFS('Données brutes'!M:M,"PF provoqué",'Données brutes'!E:E,"HANA")</f>
        <v>0</v>
      </c>
      <c r="N13" s="313">
        <f>COUNTIFS('Données brutes'!M:M,"Autres",'Données brutes'!E:E,"HANA")</f>
        <v>0</v>
      </c>
      <c r="O13" s="62"/>
      <c r="P13" s="313">
        <f>COUNTIFS('Données brutes'!N:N,"M inv -",'Données brutes'!E:E,"HANA")</f>
        <v>1</v>
      </c>
      <c r="Q13" s="313">
        <f>COUNTIFS('Données brutes'!N:N,"duel perdu",'Données brutes'!E:E,"HANA")</f>
        <v>0</v>
      </c>
      <c r="R13" s="313">
        <f>COUNTIFS('Données brutes'!N:N,"Pb gestion pvt",'Données brutes'!E:E,"HANA")</f>
        <v>1</v>
      </c>
      <c r="S13" s="313">
        <f>COUNTIFS('Données brutes'!N:N,"repartition -",'Données brutes'!E:E,"HANA")</f>
        <v>0</v>
      </c>
      <c r="T13" s="313">
        <f>COUNTIFS('Données brutes'!N:N,"pas d'entraide",'Données brutes'!E:E,"HANA")</f>
        <v>1</v>
      </c>
      <c r="U13" s="313">
        <f>COUNTIFS('Données brutes'!N:N,"Sanction 2 ou R",'Données brutes'!E:E,"HANA")</f>
        <v>0</v>
      </c>
      <c r="V13" s="313">
        <f>COUNTIFS('Données brutes'!N:N,"surentraide",'Données brutes'!E:E,"HANA")</f>
        <v>0</v>
      </c>
      <c r="W13" s="313">
        <f>COUNTIFS('Données brutes'!N:N,"Repli -",'Données brutes'!E:E,"HANA")</f>
        <v>0</v>
      </c>
      <c r="X13" s="313">
        <f>COUNTIFS('Données brutes'!N:N,"Recup -",'Données brutes'!E:E,"HANA")</f>
        <v>0</v>
      </c>
      <c r="Y13" s="313">
        <f>COUNTIFS('Données brutes'!N:N,"Interception manqué",'Données brutes'!E:E,"HANA")</f>
        <v>0</v>
      </c>
      <c r="Z13" s="313">
        <f>COUNTIFS('Données brutes'!N:N,"Autres",'Données brutes'!E:E,"HANA")</f>
        <v>1</v>
      </c>
      <c r="AA13" s="313">
        <f>COUNTIFS('Données brutes'!N:N,"sort pas course int",'Données brutes'!E:E,"HANA")</f>
        <v>1</v>
      </c>
    </row>
    <row r="14" spans="1:27" x14ac:dyDescent="0.35">
      <c r="A14" s="16" t="s">
        <v>434</v>
      </c>
      <c r="B14" s="75">
        <f t="shared" si="0"/>
        <v>37</v>
      </c>
      <c r="C14" s="75">
        <f t="shared" si="1"/>
        <v>6</v>
      </c>
      <c r="D14" s="78">
        <f t="shared" si="2"/>
        <v>0.86046511627906974</v>
      </c>
      <c r="E14" s="291">
        <f>COUNTIFS('Données brutes'!M:M,"M inv +",'Données brutes'!E:E,"PHELLYS")</f>
        <v>0</v>
      </c>
      <c r="F14" s="158">
        <f>COUNTIFS('Données brutes'!M:M,"contre",'Données brutes'!E:E,"PHELLYS")</f>
        <v>4</v>
      </c>
      <c r="G14" s="312">
        <f>COUNTIFS('Données brutes'!M:M,"duel gagné",'Données brutes'!E:E,"PHELLYS")</f>
        <v>8</v>
      </c>
      <c r="H14" s="312">
        <f>COUNTIFS('Données brutes'!M:M,"contournement pivot",'Données brutes'!E:E,"PHELLYS")</f>
        <v>3</v>
      </c>
      <c r="I14" s="312">
        <f>COUNTIFS('Données brutes'!M:M,"entraide +",'Données brutes'!E:E,"PHELLYS")</f>
        <v>7</v>
      </c>
      <c r="J14" s="312">
        <f>COUNTIFS('Données brutes'!M:M,"recup +",'Données brutes'!E:E,"PHELLYS")</f>
        <v>2</v>
      </c>
      <c r="K14" s="312">
        <f>COUNTIFS('Données brutes'!M:M,"Enc taches et rep +",'Données brutes'!E:E,"PHELLYS")</f>
        <v>9</v>
      </c>
      <c r="L14" s="313">
        <f>COUNTIFS('Données brutes'!M:M,"repli +",'Données brutes'!E:E,"PHELLYS")</f>
        <v>4</v>
      </c>
      <c r="M14" s="313">
        <f>COUNTIFS('Données brutes'!M:M,"PF provoqué",'Données brutes'!E:E,"PHELLYS")</f>
        <v>0</v>
      </c>
      <c r="N14" s="313">
        <f>COUNTIFS('Données brutes'!M:M,"Autres",'Données brutes'!E:E,"PHELLYS")</f>
        <v>0</v>
      </c>
      <c r="O14" s="62"/>
      <c r="P14" s="313">
        <f>COUNTIFS('Données brutes'!N:N,"M inv -",'Données brutes'!E:E,"PHELLYS")</f>
        <v>0</v>
      </c>
      <c r="Q14" s="313">
        <f>COUNTIFS('Données brutes'!N:N,"duel perdu",'Données brutes'!E:E,"PHELLYS")</f>
        <v>1</v>
      </c>
      <c r="R14" s="313">
        <f>COUNTIFS('Données brutes'!N:N,"Pb gestion pvt",'Données brutes'!E:E,"PHELLYS")</f>
        <v>3</v>
      </c>
      <c r="S14" s="313">
        <f>COUNTIFS('Données brutes'!N:N,"repartition -",'Données brutes'!E:E,"PHELLYS")</f>
        <v>0</v>
      </c>
      <c r="T14" s="313">
        <f>COUNTIFS('Données brutes'!N:N,"pas d'entraide",'Données brutes'!E:E,"PHELLYS")</f>
        <v>0</v>
      </c>
      <c r="U14" s="313">
        <f>COUNTIFS('Données brutes'!N:N,"Sanction 2 ou R",'Données brutes'!E:E,"PHELLYS")</f>
        <v>0</v>
      </c>
      <c r="V14" s="313">
        <f>COUNTIFS('Données brutes'!N:N,"surentraide",'Données brutes'!E:E,"PHELLYS")</f>
        <v>1</v>
      </c>
      <c r="W14" s="313">
        <f>COUNTIFS('Données brutes'!N:N,"Repli -",'Données brutes'!E:E,"PHELLYS")</f>
        <v>0</v>
      </c>
      <c r="X14" s="313">
        <f>COUNTIFS('Données brutes'!N:N,"Recup -",'Données brutes'!E:E,"PHELLYS")</f>
        <v>1</v>
      </c>
      <c r="Y14" s="313">
        <f>COUNTIFS('Données brutes'!N:N,"Interception manqué",'Données brutes'!E:E,"PHELLYS")</f>
        <v>0</v>
      </c>
      <c r="Z14" s="313">
        <f>COUNTIFS('Données brutes'!N:N,"Autres",'Données brutes'!E:E,"PHELLYS")</f>
        <v>0</v>
      </c>
      <c r="AA14" s="313">
        <f>COUNTIFS('Données brutes'!N:N,"sort pas course int",'Données brutes'!E:E,"PHELLYS")</f>
        <v>0</v>
      </c>
    </row>
    <row r="15" spans="1:27" x14ac:dyDescent="0.35">
      <c r="A15" s="126" t="s">
        <v>294</v>
      </c>
      <c r="B15" s="75">
        <f t="shared" si="0"/>
        <v>0</v>
      </c>
      <c r="C15" s="75">
        <f t="shared" si="1"/>
        <v>3</v>
      </c>
      <c r="D15" s="78">
        <f t="shared" si="2"/>
        <v>0</v>
      </c>
      <c r="E15" s="291">
        <f>COUNTIFS('Données brutes'!M:M,"M inv +",'Données brutes'!E:E,"INGRID")</f>
        <v>0</v>
      </c>
      <c r="F15" s="158">
        <f>COUNTIFS('Données brutes'!M:M,"contre",'Données brutes'!E:E,"INGRID")</f>
        <v>0</v>
      </c>
      <c r="G15" s="312">
        <f>COUNTIFS('Données brutes'!M:M,"duel gagné",'Données brutes'!E:E,"INGRID")</f>
        <v>0</v>
      </c>
      <c r="H15" s="312">
        <f>COUNTIFS('Données brutes'!M:M,"contournement pivot",'Données brutes'!E:E,"INGRID")</f>
        <v>0</v>
      </c>
      <c r="I15" s="312">
        <f>COUNTIFS('Données brutes'!M:M,"entraide +",'Données brutes'!E:E,"INGRID")</f>
        <v>0</v>
      </c>
      <c r="J15" s="312">
        <f>COUNTIFS('Données brutes'!M:M,"recup +",'Données brutes'!E:E,"INGRID")</f>
        <v>0</v>
      </c>
      <c r="K15" s="312">
        <f>COUNTIFS('Données brutes'!M:M,"Enc taches et rep +",'Données brutes'!E:E,"INGRID")</f>
        <v>0</v>
      </c>
      <c r="L15" s="313">
        <f>COUNTIFS('Données brutes'!M:M,"repli +",'Données brutes'!E:E,"INGRID")</f>
        <v>0</v>
      </c>
      <c r="M15" s="313">
        <f>COUNTIFS('Données brutes'!M:M,"PF provoqué",'Données brutes'!E:E,"INGRID")</f>
        <v>0</v>
      </c>
      <c r="N15" s="313">
        <f>COUNTIFS('Données brutes'!M:M,"Autres",'Données brutes'!E:E,"INGRID")</f>
        <v>0</v>
      </c>
      <c r="O15" s="62"/>
      <c r="P15" s="313">
        <f>COUNTIFS('Données brutes'!N:N,"M inv -",'Données brutes'!E:E,"INGRID")</f>
        <v>0</v>
      </c>
      <c r="Q15" s="313">
        <f>COUNTIFS('Données brutes'!N:N,"duel perdu",'Données brutes'!E:E,"INGRID")</f>
        <v>2</v>
      </c>
      <c r="R15" s="313">
        <f>COUNTIFS('Données brutes'!N:N,"Pb gestion pvt",'Données brutes'!E:E,"INGRID")</f>
        <v>0</v>
      </c>
      <c r="S15" s="313">
        <f>COUNTIFS('Données brutes'!N:N,"repartition -",'Données brutes'!E:E,"INGRID")</f>
        <v>0</v>
      </c>
      <c r="T15" s="313">
        <f>COUNTIFS('Données brutes'!N:N,"pas d'entraide",'Données brutes'!E:E,"INGRID")</f>
        <v>0</v>
      </c>
      <c r="U15" s="313">
        <f>COUNTIFS('Données brutes'!N:N,"Sanction 2 ou R",'Données brutes'!E:E,"INGRID")</f>
        <v>0</v>
      </c>
      <c r="V15" s="313">
        <f>COUNTIFS('Données brutes'!N:N,"surentraide",'Données brutes'!E:E,"INGRID")</f>
        <v>0</v>
      </c>
      <c r="W15" s="313">
        <f>COUNTIFS('Données brutes'!N:N,"Repli -",'Données brutes'!E:E,"INGRID")</f>
        <v>0</v>
      </c>
      <c r="X15" s="313">
        <f>COUNTIFS('Données brutes'!N:N,"Recup -",'Données brutes'!E:E,"INGRID")</f>
        <v>0</v>
      </c>
      <c r="Y15" s="313">
        <f>COUNTIFS('Données brutes'!N:N,"Interception manqué",'Données brutes'!E:E,"INGRID")</f>
        <v>0</v>
      </c>
      <c r="Z15" s="313">
        <f>COUNTIFS('Données brutes'!N:N,"Autres",'Données brutes'!E:E,"INGRID")</f>
        <v>1</v>
      </c>
      <c r="AA15" s="313">
        <f>COUNTIFS('Données brutes'!N:N,"sort pas course int",'Données brutes'!E:E,"INGRID")</f>
        <v>0</v>
      </c>
    </row>
    <row r="16" spans="1:27" ht="15" thickBot="1" x14ac:dyDescent="0.4">
      <c r="A16" s="35" t="s">
        <v>435</v>
      </c>
      <c r="B16" s="75">
        <f t="shared" si="0"/>
        <v>7</v>
      </c>
      <c r="C16" s="75">
        <f t="shared" si="1"/>
        <v>9</v>
      </c>
      <c r="D16" s="78">
        <f t="shared" si="2"/>
        <v>0.4375</v>
      </c>
      <c r="E16" s="314">
        <f>COUNTIFS('Données brutes'!M:M,"M inv +",'Données brutes'!E:E,"LAURA LYNE")</f>
        <v>0</v>
      </c>
      <c r="F16" s="315">
        <f>COUNTIFS('Données brutes'!M:M,"contre",'Données brutes'!E:E,"LAURA LYNE")</f>
        <v>1</v>
      </c>
      <c r="G16" s="312">
        <f>COUNTIFS('Données brutes'!M:M,"duel gagné",'Données brutes'!E:E,"LAURA LYNE")</f>
        <v>1</v>
      </c>
      <c r="H16" s="312">
        <f>COUNTIFS('Données brutes'!M:M,"contournement pivot",'Données brutes'!E:E,"LAURA LYNE")</f>
        <v>1</v>
      </c>
      <c r="I16" s="312">
        <f>COUNTIFS('Données brutes'!M:M,"entraide +",'Données brutes'!E:E,"LAURA LYNE")</f>
        <v>1</v>
      </c>
      <c r="J16" s="312">
        <f>COUNTIFS('Données brutes'!M:M,"recup +",'Données brutes'!E:E,"LAURA LYNE")</f>
        <v>0</v>
      </c>
      <c r="K16" s="312">
        <f>COUNTIFS('Données brutes'!M:M,"Enc taches et rep +",'Données brutes'!E:E,"LAURA LYNE")</f>
        <v>3</v>
      </c>
      <c r="L16" s="313">
        <f>COUNTIFS('Données brutes'!M:M,"repli +",'Données brutes'!E:E,"LAURA LYNE")</f>
        <v>0</v>
      </c>
      <c r="M16" s="313">
        <f>COUNTIFS('Données brutes'!M:M,"PF provoqué",'Données brutes'!E:E,"LAURA LYNE")</f>
        <v>0</v>
      </c>
      <c r="N16" s="313">
        <f>COUNTIFS('Données brutes'!M:M,"Autres",'Données brutes'!E:E,"LAURA LYNE")</f>
        <v>0</v>
      </c>
      <c r="O16" s="62"/>
      <c r="P16" s="316">
        <f>COUNTIFS('Données brutes'!N:N,"M inv -",'Données brutes'!E:E,"LAURA LYNE")</f>
        <v>0</v>
      </c>
      <c r="Q16" s="316">
        <f>COUNTIFS('Données brutes'!N:N,"duel perdu",'Données brutes'!E:E,"LAURA LYNE")</f>
        <v>3</v>
      </c>
      <c r="R16" s="316">
        <f>COUNTIFS('Données brutes'!N:N,"Pb gestion pvt",'Données brutes'!E:E,"LAURA LYNE")</f>
        <v>0</v>
      </c>
      <c r="S16" s="316">
        <f>COUNTIFS('Données brutes'!N:N,"repartition -",'Données brutes'!E:E,"LAURA LYNE")</f>
        <v>3</v>
      </c>
      <c r="T16" s="316">
        <f>COUNTIFS('Données brutes'!N:N,"pas d'entraide",'Données brutes'!E:E,"LAURA LYNE")</f>
        <v>0</v>
      </c>
      <c r="U16" s="316">
        <f>COUNTIFS('Données brutes'!N:N,"Sanction 2 ou R",'Données brutes'!E:E,"LAURA LYNE")</f>
        <v>0</v>
      </c>
      <c r="V16" s="316">
        <f>COUNTIFS('Données brutes'!N:N,"surentraide",'Données brutes'!E:E,"LAURA LYNE")</f>
        <v>0</v>
      </c>
      <c r="W16" s="316">
        <f>COUNTIFS('Données brutes'!N:N,"Repli -",'Données brutes'!E:E,"LAURA LYNE")</f>
        <v>0</v>
      </c>
      <c r="X16" s="316">
        <f>COUNTIFS('Données brutes'!N:N,"Recup -",'Données brutes'!E:E,"LAURA LYNE")</f>
        <v>0</v>
      </c>
      <c r="Y16" s="316">
        <f>COUNTIFS('Données brutes'!N:N,"Interception manqué",'Données brutes'!E:E,"LAURA LYNE")</f>
        <v>0</v>
      </c>
      <c r="Z16" s="316">
        <f>COUNTIFS('Données brutes'!N:N,"Autres",'Données brutes'!E:E,"LAURA LYNE")</f>
        <v>0</v>
      </c>
      <c r="AA16" s="316">
        <f>COUNTIFS('Données brutes'!N:N,"sort pas course int",'Données brutes'!E:E,"LAURA LYNE")</f>
        <v>3</v>
      </c>
    </row>
    <row r="17" spans="1:27" x14ac:dyDescent="0.35">
      <c r="A17" s="62"/>
      <c r="B17" s="62"/>
      <c r="C17" s="62"/>
      <c r="D17" s="62"/>
      <c r="E17" s="62"/>
      <c r="F17" s="62"/>
      <c r="G17" s="62"/>
      <c r="H17" s="62"/>
      <c r="I17" s="62"/>
      <c r="J17" s="62"/>
      <c r="K17" s="62"/>
      <c r="L17" s="62"/>
      <c r="M17" s="62"/>
      <c r="N17" s="62"/>
      <c r="O17" s="62"/>
      <c r="P17" s="223"/>
      <c r="Q17" s="224"/>
      <c r="R17" s="224"/>
      <c r="S17" s="224"/>
      <c r="T17" s="224"/>
      <c r="U17" s="224"/>
      <c r="V17" s="224"/>
      <c r="W17" s="224"/>
      <c r="X17" s="224"/>
      <c r="Y17" s="224"/>
      <c r="Z17" s="224"/>
      <c r="AA17" s="225"/>
    </row>
    <row r="18" spans="1:27" x14ac:dyDescent="0.35">
      <c r="A18" s="13" t="s">
        <v>227</v>
      </c>
      <c r="B18" s="13">
        <f>SUM(B3:B16)</f>
        <v>137</v>
      </c>
      <c r="C18" s="13">
        <f>SUM(C3:C16)</f>
        <v>89</v>
      </c>
      <c r="D18" s="79">
        <f>B18/(B18+C18)</f>
        <v>0.60619469026548678</v>
      </c>
      <c r="E18" s="13">
        <f t="shared" ref="E18:AA18" si="3">SUM(E3:E16)</f>
        <v>25</v>
      </c>
      <c r="F18" s="13">
        <f t="shared" si="3"/>
        <v>7</v>
      </c>
      <c r="G18" s="13">
        <f t="shared" si="3"/>
        <v>26</v>
      </c>
      <c r="H18" s="13">
        <f t="shared" si="3"/>
        <v>12</v>
      </c>
      <c r="I18" s="13">
        <f t="shared" si="3"/>
        <v>12</v>
      </c>
      <c r="J18" s="13">
        <f t="shared" si="3"/>
        <v>9</v>
      </c>
      <c r="K18" s="13">
        <f t="shared" si="3"/>
        <v>22</v>
      </c>
      <c r="L18" s="13">
        <f t="shared" si="3"/>
        <v>18</v>
      </c>
      <c r="M18" s="13">
        <f t="shared" si="3"/>
        <v>0</v>
      </c>
      <c r="N18" s="13">
        <f t="shared" si="3"/>
        <v>6</v>
      </c>
      <c r="O18" s="222">
        <f t="shared" si="3"/>
        <v>0</v>
      </c>
      <c r="P18" s="141">
        <f t="shared" si="3"/>
        <v>19</v>
      </c>
      <c r="Q18" s="217">
        <f t="shared" si="3"/>
        <v>18</v>
      </c>
      <c r="R18" s="217">
        <f t="shared" si="3"/>
        <v>14</v>
      </c>
      <c r="S18" s="217">
        <f t="shared" si="3"/>
        <v>5</v>
      </c>
      <c r="T18" s="217">
        <f t="shared" si="3"/>
        <v>9</v>
      </c>
      <c r="U18" s="217">
        <f t="shared" si="3"/>
        <v>1</v>
      </c>
      <c r="V18" s="217">
        <f t="shared" si="3"/>
        <v>3</v>
      </c>
      <c r="W18" s="217">
        <f t="shared" si="3"/>
        <v>5</v>
      </c>
      <c r="X18" s="217">
        <f t="shared" si="3"/>
        <v>3</v>
      </c>
      <c r="Y18" s="217">
        <f t="shared" si="3"/>
        <v>1</v>
      </c>
      <c r="Z18" s="217">
        <f t="shared" si="3"/>
        <v>5</v>
      </c>
      <c r="AA18" s="226">
        <f t="shared" si="3"/>
        <v>6</v>
      </c>
    </row>
    <row r="19" spans="1:27" ht="15" thickBot="1" x14ac:dyDescent="0.4">
      <c r="P19" s="227"/>
      <c r="Q19" s="228"/>
      <c r="R19" s="228"/>
      <c r="S19" s="228"/>
      <c r="T19" s="228"/>
      <c r="U19" s="228"/>
      <c r="V19" s="228"/>
      <c r="W19" s="228"/>
      <c r="X19" s="228"/>
      <c r="Y19" s="228"/>
      <c r="Z19" s="228"/>
      <c r="AA19" s="229"/>
    </row>
    <row r="20" spans="1:27" ht="42.5" thickBot="1" x14ac:dyDescent="0.4">
      <c r="E20" s="232" t="s">
        <v>164</v>
      </c>
      <c r="F20" s="233" t="s">
        <v>160</v>
      </c>
      <c r="G20" s="233" t="s">
        <v>166</v>
      </c>
      <c r="H20" s="233" t="s">
        <v>207</v>
      </c>
      <c r="I20" s="233" t="s">
        <v>169</v>
      </c>
      <c r="J20" s="234" t="s">
        <v>185</v>
      </c>
      <c r="K20" s="235" t="s">
        <v>208</v>
      </c>
      <c r="L20" s="236" t="s">
        <v>193</v>
      </c>
      <c r="M20" s="235" t="s">
        <v>351</v>
      </c>
      <c r="N20" s="236" t="s">
        <v>209</v>
      </c>
      <c r="P20" s="230" t="s">
        <v>161</v>
      </c>
      <c r="Q20" s="218" t="s">
        <v>361</v>
      </c>
      <c r="R20" s="218" t="s">
        <v>196</v>
      </c>
      <c r="S20" s="218" t="s">
        <v>211</v>
      </c>
      <c r="T20" s="218" t="s">
        <v>191</v>
      </c>
      <c r="U20" s="218" t="s">
        <v>188</v>
      </c>
      <c r="V20" s="218" t="s">
        <v>210</v>
      </c>
      <c r="W20" s="218" t="s">
        <v>75</v>
      </c>
      <c r="X20" s="219" t="s">
        <v>153</v>
      </c>
      <c r="Y20" s="220" t="s">
        <v>165</v>
      </c>
      <c r="Z20" s="220" t="s">
        <v>209</v>
      </c>
      <c r="AA20" s="221" t="s">
        <v>349</v>
      </c>
    </row>
    <row r="21" spans="1:27" ht="15" thickBot="1" x14ac:dyDescent="0.4">
      <c r="E21" s="237">
        <f>E18/$B$18</f>
        <v>0.18248175182481752</v>
      </c>
      <c r="F21" s="238">
        <f t="shared" ref="F21:N21" si="4">F18/$B$18</f>
        <v>5.1094890510948905E-2</v>
      </c>
      <c r="G21" s="238">
        <f t="shared" si="4"/>
        <v>0.18978102189781021</v>
      </c>
      <c r="H21" s="238">
        <f t="shared" si="4"/>
        <v>8.7591240875912413E-2</v>
      </c>
      <c r="I21" s="238">
        <f t="shared" si="4"/>
        <v>8.7591240875912413E-2</v>
      </c>
      <c r="J21" s="238">
        <f t="shared" si="4"/>
        <v>6.569343065693431E-2</v>
      </c>
      <c r="K21" s="238">
        <f t="shared" si="4"/>
        <v>0.16058394160583941</v>
      </c>
      <c r="L21" s="238">
        <f t="shared" si="4"/>
        <v>0.13138686131386862</v>
      </c>
      <c r="M21" s="238">
        <f t="shared" si="4"/>
        <v>0</v>
      </c>
      <c r="N21" s="239">
        <f t="shared" si="4"/>
        <v>4.3795620437956206E-2</v>
      </c>
      <c r="P21" s="231">
        <f>P18/$C$18</f>
        <v>0.21348314606741572</v>
      </c>
      <c r="Q21" s="231">
        <f t="shared" ref="Q21:AA21" si="5">Q18/$C$18</f>
        <v>0.20224719101123595</v>
      </c>
      <c r="R21" s="231">
        <f t="shared" si="5"/>
        <v>0.15730337078651685</v>
      </c>
      <c r="S21" s="231">
        <f t="shared" si="5"/>
        <v>5.6179775280898875E-2</v>
      </c>
      <c r="T21" s="231">
        <f t="shared" si="5"/>
        <v>0.10112359550561797</v>
      </c>
      <c r="U21" s="231">
        <f t="shared" si="5"/>
        <v>1.1235955056179775E-2</v>
      </c>
      <c r="V21" s="231">
        <f t="shared" si="5"/>
        <v>3.3707865168539325E-2</v>
      </c>
      <c r="W21" s="231">
        <f t="shared" si="5"/>
        <v>5.6179775280898875E-2</v>
      </c>
      <c r="X21" s="231">
        <f t="shared" si="5"/>
        <v>3.3707865168539325E-2</v>
      </c>
      <c r="Y21" s="231">
        <f t="shared" si="5"/>
        <v>1.1235955056179775E-2</v>
      </c>
      <c r="Z21" s="231">
        <f t="shared" si="5"/>
        <v>5.6179775280898875E-2</v>
      </c>
      <c r="AA21" s="231">
        <f t="shared" si="5"/>
        <v>6.741573033707865E-2</v>
      </c>
    </row>
  </sheetData>
  <mergeCells count="3">
    <mergeCell ref="A1:D1"/>
    <mergeCell ref="E1:O1"/>
    <mergeCell ref="P1:AA1"/>
  </mergeCells>
  <conditionalFormatting sqref="D3:D1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verticalDpi="0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A754E5-AD95-4CB2-8F7C-2900BE221166}">
  <sheetPr codeName="Feuil17"/>
  <dimension ref="A1:T24"/>
  <sheetViews>
    <sheetView topLeftCell="A3" zoomScale="90" zoomScaleNormal="90" workbookViewId="0">
      <selection activeCell="A21" sqref="A21"/>
    </sheetView>
  </sheetViews>
  <sheetFormatPr baseColWidth="10" defaultRowHeight="14.5" x14ac:dyDescent="0.35"/>
  <cols>
    <col min="1" max="1" width="23.1796875" customWidth="1"/>
    <col min="2" max="3" width="8.81640625" customWidth="1"/>
    <col min="4" max="5" width="9.54296875" customWidth="1"/>
    <col min="6" max="6" width="8.26953125" customWidth="1"/>
    <col min="7" max="7" width="9.54296875" customWidth="1"/>
    <col min="8" max="8" width="3.81640625" customWidth="1"/>
    <col min="9" max="9" width="4.36328125" customWidth="1"/>
    <col min="10" max="10" width="4.453125" customWidth="1"/>
    <col min="11" max="11" width="4.7265625" customWidth="1"/>
    <col min="12" max="12" width="4" customWidth="1"/>
    <col min="13" max="13" width="4.81640625" customWidth="1"/>
    <col min="14" max="14" width="4.1796875" customWidth="1"/>
    <col min="15" max="15" width="5.453125" customWidth="1"/>
    <col min="16" max="16" width="4.81640625" customWidth="1"/>
    <col min="17" max="17" width="4.6328125" customWidth="1"/>
    <col min="18" max="18" width="4.453125" customWidth="1"/>
    <col min="19" max="19" width="4.36328125" customWidth="1"/>
    <col min="20" max="20" width="4.90625" customWidth="1"/>
    <col min="21" max="21" width="9.1796875" customWidth="1"/>
    <col min="22" max="24" width="9.54296875" customWidth="1"/>
    <col min="25" max="29" width="6.81640625" customWidth="1"/>
    <col min="30" max="30" width="11" customWidth="1"/>
    <col min="31" max="31" width="7.7265625" customWidth="1"/>
    <col min="32" max="34" width="9.453125" customWidth="1"/>
  </cols>
  <sheetData>
    <row r="1" spans="1:20" ht="15" thickBot="1" x14ac:dyDescent="0.4">
      <c r="H1" s="519" t="s">
        <v>221</v>
      </c>
      <c r="I1" s="520"/>
      <c r="J1" s="520"/>
      <c r="K1" s="520"/>
      <c r="L1" s="520"/>
      <c r="M1" s="520"/>
      <c r="N1" s="520"/>
      <c r="O1" s="520"/>
      <c r="P1" s="520"/>
      <c r="Q1" s="520"/>
      <c r="R1" s="520"/>
      <c r="S1" s="520"/>
      <c r="T1" s="521"/>
    </row>
    <row r="2" spans="1:20" ht="48" customHeight="1" x14ac:dyDescent="0.35">
      <c r="A2" s="130"/>
      <c r="B2" s="131" t="s">
        <v>71</v>
      </c>
      <c r="C2" s="131" t="s">
        <v>386</v>
      </c>
      <c r="D2" s="131" t="s">
        <v>154</v>
      </c>
      <c r="E2" s="131" t="s">
        <v>397</v>
      </c>
      <c r="F2" s="131" t="s">
        <v>398</v>
      </c>
      <c r="G2" s="131" t="s">
        <v>399</v>
      </c>
      <c r="H2" s="131" t="s">
        <v>218</v>
      </c>
      <c r="I2" s="131" t="s">
        <v>15</v>
      </c>
      <c r="J2" s="131" t="s">
        <v>17</v>
      </c>
      <c r="K2" s="131" t="s">
        <v>151</v>
      </c>
      <c r="L2" s="131" t="s">
        <v>219</v>
      </c>
      <c r="M2" s="131" t="s">
        <v>220</v>
      </c>
      <c r="N2" s="131" t="s">
        <v>259</v>
      </c>
      <c r="O2" s="131" t="s">
        <v>313</v>
      </c>
      <c r="P2" s="131" t="s">
        <v>314</v>
      </c>
      <c r="Q2" s="131">
        <v>56</v>
      </c>
      <c r="R2" s="131">
        <v>12</v>
      </c>
      <c r="S2" s="131" t="s">
        <v>315</v>
      </c>
      <c r="T2" s="132" t="s">
        <v>209</v>
      </c>
    </row>
    <row r="3" spans="1:20" x14ac:dyDescent="0.35">
      <c r="A3" s="133"/>
      <c r="B3" s="97"/>
      <c r="C3" s="97"/>
      <c r="D3" s="97"/>
      <c r="E3" s="97"/>
      <c r="F3" s="97"/>
      <c r="G3" s="97"/>
      <c r="H3" s="301"/>
      <c r="I3" s="301"/>
      <c r="J3" s="301"/>
      <c r="K3" s="301"/>
      <c r="L3" s="301"/>
      <c r="M3" s="301"/>
      <c r="N3" s="301"/>
      <c r="O3" s="301"/>
      <c r="P3" s="301"/>
      <c r="Q3" s="301"/>
      <c r="R3" s="301"/>
      <c r="S3" s="301"/>
      <c r="T3" s="302"/>
    </row>
    <row r="4" spans="1:20" x14ac:dyDescent="0.35">
      <c r="A4" s="16" t="s">
        <v>284</v>
      </c>
      <c r="B4" s="135">
        <f>SUM(H4:T4)</f>
        <v>1</v>
      </c>
      <c r="C4" s="164">
        <f>'Matchs joués'!B3</f>
        <v>4</v>
      </c>
      <c r="D4" s="128">
        <f t="shared" ref="D4:D20" si="0">B4/C4</f>
        <v>0.25</v>
      </c>
      <c r="E4" s="128">
        <f>'Temps de jeu'!B3</f>
        <v>30</v>
      </c>
      <c r="F4" s="128">
        <f>E4*C4</f>
        <v>120</v>
      </c>
      <c r="G4" s="128">
        <f>F4/B4</f>
        <v>120</v>
      </c>
      <c r="H4" s="293">
        <f>COUNTIFS('Données brutes'!R:R,"GE",'Données brutes'!E:E,"JUSTICIA")</f>
        <v>1</v>
      </c>
      <c r="I4" s="293">
        <f>COUNTIFS('Données brutes'!R:R,"ALG",'Données brutes'!E:E,"JUSTICIA")</f>
        <v>0</v>
      </c>
      <c r="J4" s="293">
        <f>COUNTIFS('Données brutes'!R:R,"ALD",'Données brutes'!E:E,"JUSTICIA")</f>
        <v>0</v>
      </c>
      <c r="K4" s="293">
        <f>COUNTIFS('Données brutes'!R:R,"PVT",'Données brutes'!E:E,"JUSTICIA")</f>
        <v>0</v>
      </c>
      <c r="L4" s="293">
        <f>COUNTIFS('Données brutes'!R:R,"Zone",'Données brutes'!E:E,"JUSTICIA")</f>
        <v>0</v>
      </c>
      <c r="M4" s="293">
        <f>COUNTIFS('Données brutes'!R:R,"Passif",'Données brutes'!E:E,"JUSTICIA")</f>
        <v>0</v>
      </c>
      <c r="N4" s="294">
        <f>COUNTIFS('Données brutes'!R:R,"Marcher",'Données brutes'!E:E,"JUSTICIA")</f>
        <v>0</v>
      </c>
      <c r="O4" s="294">
        <f>COUNTIFS('Données brutes'!$R:$R,"KF",'Données brutes'!$E:$E,"JUSTICIA")</f>
        <v>0</v>
      </c>
      <c r="P4" s="294">
        <f>COUNTIFS('Données brutes'!$R:$R,"Passe centrale",'Données brutes'!$E:$E,"JUSTICIA")</f>
        <v>0</v>
      </c>
      <c r="Q4" s="294">
        <f>COUNTIFS('Données brutes'!$R:$R,"56",'Données brutes'!$E:$E,"JUSTICIA")</f>
        <v>0</v>
      </c>
      <c r="R4" s="294">
        <f>COUNTIFS('Données brutes'!$R:$R,"12",'Données brutes'!$E:$E,"JUSTICIA")</f>
        <v>0</v>
      </c>
      <c r="S4" s="294">
        <f>COUNTIFS('Données brutes'!R:R,"PF Mauvais bloc",'Données brutes'!E:E,"JUSTICIA")</f>
        <v>0</v>
      </c>
      <c r="T4" s="303">
        <f>COUNTIFS('Données brutes'!R:R,"Autres",'Données brutes'!E:E,"JUSTICIA")</f>
        <v>0</v>
      </c>
    </row>
    <row r="5" spans="1:20" x14ac:dyDescent="0.35">
      <c r="A5" s="16" t="s">
        <v>436</v>
      </c>
      <c r="B5" s="135">
        <f t="shared" ref="B5:B20" si="1">SUM(H5:T5)</f>
        <v>2</v>
      </c>
      <c r="C5" s="164">
        <f>'Matchs joués'!B4</f>
        <v>4</v>
      </c>
      <c r="D5" s="128">
        <f t="shared" si="0"/>
        <v>0.5</v>
      </c>
      <c r="E5" s="128">
        <f>'Temps de jeu'!B4</f>
        <v>30</v>
      </c>
      <c r="F5" s="128">
        <f t="shared" ref="F5:F20" si="2">E5*C5</f>
        <v>120</v>
      </c>
      <c r="G5" s="128">
        <f t="shared" ref="G5:G20" si="3">F5/B5</f>
        <v>60</v>
      </c>
      <c r="H5" s="293">
        <f>COUNTIFS('Données brutes'!R:R,"GE",'Données brutes'!E:E,"ALIX")</f>
        <v>2</v>
      </c>
      <c r="I5" s="293">
        <f>COUNTIFS('Données brutes'!R:R,"ALG",'Données brutes'!E:E,"ALIX")</f>
        <v>0</v>
      </c>
      <c r="J5" s="293">
        <f>COUNTIFS('Données brutes'!R:R,"ALD",'Données brutes'!E:E,"ALIX")</f>
        <v>0</v>
      </c>
      <c r="K5" s="293">
        <f>COUNTIFS('Données brutes'!R:R,"PVT",'Données brutes'!E:E,"ALIX")</f>
        <v>0</v>
      </c>
      <c r="L5" s="293">
        <f>COUNTIFS('Données brutes'!R:R,"Zone",'Données brutes'!E:E,"ALIX")</f>
        <v>0</v>
      </c>
      <c r="M5" s="293">
        <f>COUNTIFS('Données brutes'!R:R,"Passif",'Données brutes'!E:E,"ALIX")</f>
        <v>0</v>
      </c>
      <c r="N5" s="294">
        <f>COUNTIFS('Données brutes'!R:R,"Marcher",'Données brutes'!E:E,"ALIX")</f>
        <v>0</v>
      </c>
      <c r="O5" s="294">
        <f>COUNTIFS('Données brutes'!$R:$R,"KF",'Données brutes'!$E:$E,"ALIX")</f>
        <v>0</v>
      </c>
      <c r="P5" s="294">
        <f>COUNTIFS('Données brutes'!$R:$R,"Passe centrale",'Données brutes'!$E:$E,"ALIX")</f>
        <v>0</v>
      </c>
      <c r="Q5" s="294">
        <f>COUNTIFS('Données brutes'!$R:$R,"56",'Données brutes'!$E:$E,"ALIX")</f>
        <v>0</v>
      </c>
      <c r="R5" s="294">
        <f>COUNTIFS('Données brutes'!$R:$R,"12",'Données brutes'!$E:$E,"ALIX")</f>
        <v>0</v>
      </c>
      <c r="S5" s="294">
        <f>COUNTIFS('Données brutes'!R:R,"PF Mauvais bloc",'Données brutes'!E:E,"ALIX")</f>
        <v>0</v>
      </c>
      <c r="T5" s="303">
        <f>COUNTIFS('Données brutes'!R:R,"Autres",'Données brutes'!E:E,"ALIX")</f>
        <v>0</v>
      </c>
    </row>
    <row r="6" spans="1:20" x14ac:dyDescent="0.35">
      <c r="A6" s="16" t="s">
        <v>455</v>
      </c>
      <c r="B6" s="135">
        <f t="shared" si="1"/>
        <v>0</v>
      </c>
      <c r="C6" s="164">
        <f>'Matchs joués'!B5</f>
        <v>4</v>
      </c>
      <c r="D6" s="128">
        <f t="shared" si="0"/>
        <v>0</v>
      </c>
      <c r="E6" s="128">
        <f>'Temps de jeu'!B5</f>
        <v>27</v>
      </c>
      <c r="F6" s="128">
        <f t="shared" si="2"/>
        <v>108</v>
      </c>
      <c r="G6" s="128" t="e">
        <f t="shared" si="3"/>
        <v>#DIV/0!</v>
      </c>
      <c r="H6" s="293">
        <f>COUNTIFS('Données brutes'!R:R,"GE",'Données brutes'!E:E,"NAEMI A")</f>
        <v>0</v>
      </c>
      <c r="I6" s="293">
        <f>COUNTIFS('Données brutes'!R:R,"ALG",'Données brutes'!E:E,"NAEMI A")</f>
        <v>0</v>
      </c>
      <c r="J6" s="293">
        <f>COUNTIFS('Données brutes'!R:R,"ALD",'Données brutes'!E:E,"NAEMI A")</f>
        <v>0</v>
      </c>
      <c r="K6" s="293">
        <f>COUNTIFS('Données brutes'!R:R,"PVT",'Données brutes'!E:E,"NAEMI A")</f>
        <v>0</v>
      </c>
      <c r="L6" s="293">
        <f>COUNTIFS('Données brutes'!R:R,"Zone",'Données brutes'!E:E,"NAEMI A")</f>
        <v>0</v>
      </c>
      <c r="M6" s="293">
        <f>COUNTIFS('Données brutes'!R:R,"Passif",'Données brutes'!E:E,"NAEMI A")</f>
        <v>0</v>
      </c>
      <c r="N6" s="294">
        <f>COUNTIFS('Données brutes'!R:R,"Marcher",'Données brutes'!E:E,"NAEMI A")</f>
        <v>0</v>
      </c>
      <c r="O6" s="294">
        <f>COUNTIFS('Données brutes'!$R:$R,"KF",'Données brutes'!$E:$E,"NAEMI A")</f>
        <v>0</v>
      </c>
      <c r="P6" s="294">
        <f>COUNTIFS('Données brutes'!$R:$R,"Passe centrale",'Données brutes'!$E:$E,"NAEMI A")</f>
        <v>0</v>
      </c>
      <c r="Q6" s="294">
        <f>COUNTIFS('Données brutes'!$R:$R,"56",'Données brutes'!$E:$E,"NAEMI A")</f>
        <v>0</v>
      </c>
      <c r="R6" s="294">
        <f>COUNTIFS('Données brutes'!$R:$R,"12",'Données brutes'!$E:$E,"NAEMI A")</f>
        <v>0</v>
      </c>
      <c r="S6" s="294">
        <f>COUNTIFS('Données brutes'!R:R,"PF Mauvais bloc",'Données brutes'!E:E,"NAEMI A")</f>
        <v>0</v>
      </c>
      <c r="T6" s="303">
        <f>COUNTIFS('Données brutes'!R:R,"Autres",'Données brutes'!E:E,"NAEMI A")</f>
        <v>0</v>
      </c>
    </row>
    <row r="7" spans="1:20" x14ac:dyDescent="0.35">
      <c r="A7" s="16" t="s">
        <v>285</v>
      </c>
      <c r="B7" s="135">
        <f t="shared" si="1"/>
        <v>0</v>
      </c>
      <c r="C7" s="164">
        <f>'Matchs joués'!B6</f>
        <v>4</v>
      </c>
      <c r="D7" s="128">
        <f t="shared" si="0"/>
        <v>0</v>
      </c>
      <c r="E7" s="128">
        <f>'Temps de jeu'!B6</f>
        <v>33</v>
      </c>
      <c r="F7" s="128">
        <f t="shared" si="2"/>
        <v>132</v>
      </c>
      <c r="G7" s="128" t="e">
        <f t="shared" si="3"/>
        <v>#DIV/0!</v>
      </c>
      <c r="H7" s="293">
        <f>COUNTIFS('Données brutes'!R:R,"GE",'Données brutes'!E:E,"SYRIANE")</f>
        <v>0</v>
      </c>
      <c r="I7" s="293">
        <f>COUNTIFS('Données brutes'!R:R,"ALG",'Données brutes'!E:E,"SYRIANE")</f>
        <v>0</v>
      </c>
      <c r="J7" s="293">
        <f>COUNTIFS('Données brutes'!R:R,"ALD",'Données brutes'!E:E,"SYRIANE")</f>
        <v>0</v>
      </c>
      <c r="K7" s="293">
        <f>COUNTIFS('Données brutes'!R:R,"PVT",'Données brutes'!E:E,"SYRIANE")</f>
        <v>0</v>
      </c>
      <c r="L7" s="293">
        <f>COUNTIFS('Données brutes'!R:R,"Zone",'Données brutes'!E:E,"SYRIANE")</f>
        <v>0</v>
      </c>
      <c r="M7" s="293">
        <f>COUNTIFS('Données brutes'!R:R,"Passif",'Données brutes'!E:E,"SYRIANE")</f>
        <v>0</v>
      </c>
      <c r="N7" s="294">
        <f>COUNTIFS('Données brutes'!R:R,"Marcher",'Données brutes'!E:E,"SYRIANE")</f>
        <v>0</v>
      </c>
      <c r="O7" s="294">
        <f>COUNTIFS('Données brutes'!$R:$R,"KF",'Données brutes'!$E:$E,"SYRIANE")</f>
        <v>0</v>
      </c>
      <c r="P7" s="294">
        <f>COUNTIFS('Données brutes'!$R:$R,"Passe centrale",'Données brutes'!$E:$E,"SYRIANE")</f>
        <v>0</v>
      </c>
      <c r="Q7" s="294">
        <f>COUNTIFS('Données brutes'!$R:$R,"56",'Données brutes'!$E:$E,"SYRIANE")</f>
        <v>0</v>
      </c>
      <c r="R7" s="294">
        <f>COUNTIFS('Données brutes'!$R:$R,"12",'Données brutes'!$E:$E,"SYRIANE")</f>
        <v>0</v>
      </c>
      <c r="S7" s="294">
        <f>COUNTIFS('Données brutes'!R:R,"PF Mauvais bloc",'Données brutes'!E:E,"SYRIANE")</f>
        <v>0</v>
      </c>
      <c r="T7" s="303">
        <f>COUNTIFS('Données brutes'!R:R,"Autres",'Données brutes'!E:E,"SYRIANE")</f>
        <v>0</v>
      </c>
    </row>
    <row r="8" spans="1:20" x14ac:dyDescent="0.35">
      <c r="A8" s="16" t="s">
        <v>286</v>
      </c>
      <c r="B8" s="135">
        <f t="shared" si="1"/>
        <v>4</v>
      </c>
      <c r="C8" s="164">
        <f>'Matchs joués'!B7</f>
        <v>3</v>
      </c>
      <c r="D8" s="128">
        <f t="shared" si="0"/>
        <v>1.3333333333333333</v>
      </c>
      <c r="E8" s="128">
        <f>'Temps de jeu'!B7</f>
        <v>30</v>
      </c>
      <c r="F8" s="128">
        <f t="shared" si="2"/>
        <v>90</v>
      </c>
      <c r="G8" s="128">
        <f t="shared" si="3"/>
        <v>22.5</v>
      </c>
      <c r="H8" s="293">
        <f>COUNTIFS('Données brutes'!R:R,"GE",'Données brutes'!E:E,"HANA")</f>
        <v>0</v>
      </c>
      <c r="I8" s="293">
        <f>COUNTIFS('Données brutes'!R:R,"ALG",'Données brutes'!E:E,"HANA")</f>
        <v>0</v>
      </c>
      <c r="J8" s="293">
        <f>COUNTIFS('Données brutes'!R:R,"ALD",'Données brutes'!E:E,"HANA")</f>
        <v>0</v>
      </c>
      <c r="K8" s="293">
        <f>COUNTIFS('Données brutes'!R:R,"PVT",'Données brutes'!E:E,"HANA")</f>
        <v>1</v>
      </c>
      <c r="L8" s="293">
        <f>COUNTIFS('Données brutes'!R:R,"Zone",'Données brutes'!E:E,"HANA")</f>
        <v>0</v>
      </c>
      <c r="M8" s="293">
        <f>COUNTIFS('Données brutes'!R:R,"Passif",'Données brutes'!E:E,"HANA")</f>
        <v>0</v>
      </c>
      <c r="N8" s="294">
        <f>COUNTIFS('Données brutes'!R:R,"Marcher",'Données brutes'!E:E,"HANA")</f>
        <v>0</v>
      </c>
      <c r="O8" s="294">
        <f>COUNTIFS('Données brutes'!$R:$R,"KF",'Données brutes'!$E:$E,"HANA")</f>
        <v>1</v>
      </c>
      <c r="P8" s="294">
        <f>COUNTIFS('Données brutes'!$R:$R,"Passe centrale",'Données brutes'!$E:$E,"HANA")</f>
        <v>0</v>
      </c>
      <c r="Q8" s="294">
        <f>COUNTIFS('Données brutes'!$R:$R,"56",'Données brutes'!$E:$E,"HANA")</f>
        <v>2</v>
      </c>
      <c r="R8" s="294">
        <f>COUNTIFS('Données brutes'!$R:$R,"12",'Données brutes'!$E:$E,"HANA")</f>
        <v>0</v>
      </c>
      <c r="S8" s="294">
        <f>COUNTIFS('Données brutes'!R:R,"PF Mauvais bloc",'Données brutes'!E:E,"HANA")</f>
        <v>0</v>
      </c>
      <c r="T8" s="303">
        <f>COUNTIFS('Données brutes'!R:R,"Autres",'Données brutes'!E:E,"HANA")</f>
        <v>0</v>
      </c>
    </row>
    <row r="9" spans="1:20" x14ac:dyDescent="0.35">
      <c r="A9" s="16" t="s">
        <v>434</v>
      </c>
      <c r="B9" s="135">
        <f t="shared" si="1"/>
        <v>13</v>
      </c>
      <c r="C9" s="164">
        <f>'Matchs joués'!B8</f>
        <v>4</v>
      </c>
      <c r="D9" s="128">
        <f t="shared" si="0"/>
        <v>3.25</v>
      </c>
      <c r="E9" s="128">
        <f>'Temps de jeu'!B8</f>
        <v>40</v>
      </c>
      <c r="F9" s="128">
        <f t="shared" si="2"/>
        <v>160</v>
      </c>
      <c r="G9" s="128">
        <f t="shared" si="3"/>
        <v>12.307692307692308</v>
      </c>
      <c r="H9" s="293">
        <f>COUNTIFS('Données brutes'!R:R,"GE",'Données brutes'!E:E,"PHELLYS")</f>
        <v>1</v>
      </c>
      <c r="I9" s="293">
        <f>COUNTIFS('Données brutes'!R:R,"ALG",'Données brutes'!E:E,"PHELLYS")</f>
        <v>1</v>
      </c>
      <c r="J9" s="293">
        <f>COUNTIFS('Données brutes'!R:R,"ALD",'Données brutes'!E:E,"PHELLYS")</f>
        <v>0</v>
      </c>
      <c r="K9" s="293">
        <f>COUNTIFS('Données brutes'!R:R,"PVT",'Données brutes'!E:E,"PHELLYS")</f>
        <v>5</v>
      </c>
      <c r="L9" s="293">
        <f>COUNTIFS('Données brutes'!R:R,"Zone",'Données brutes'!E:E,"PHELLYS")</f>
        <v>0</v>
      </c>
      <c r="M9" s="293">
        <f>COUNTIFS('Données brutes'!R:R,"Passif",'Données brutes'!E:E,"PHELLYS")</f>
        <v>0</v>
      </c>
      <c r="N9" s="294">
        <f>COUNTIFS('Données brutes'!R:R,"Marcher",'Données brutes'!E:E,"PHELLYS")</f>
        <v>3</v>
      </c>
      <c r="O9" s="294">
        <f>COUNTIFS('Données brutes'!$R:$R,"KF",'Données brutes'!$E:$E,"PHELLYS")</f>
        <v>0</v>
      </c>
      <c r="P9" s="294">
        <f>COUNTIFS('Données brutes'!$R:$R,"Passe centrale",'Données brutes'!$E:$E,"PHELLYS")</f>
        <v>0</v>
      </c>
      <c r="Q9" s="294">
        <f>COUNTIFS('Données brutes'!$R:$R,"56",'Données brutes'!$E:$E,"PHELLYS")</f>
        <v>1</v>
      </c>
      <c r="R9" s="294">
        <f>COUNTIFS('Données brutes'!$R:$R,"12",'Données brutes'!$E:$E,"PHELLYS")</f>
        <v>1</v>
      </c>
      <c r="S9" s="294">
        <f>COUNTIFS('Données brutes'!R:R,"PF Mauvais bloc",'Données brutes'!E:E,"PHELLYS")</f>
        <v>0</v>
      </c>
      <c r="T9" s="303">
        <f>COUNTIFS('Données brutes'!R:R,"Autres",'Données brutes'!E:E,"PHELLYS")</f>
        <v>1</v>
      </c>
    </row>
    <row r="10" spans="1:20" x14ac:dyDescent="0.35">
      <c r="A10" s="16" t="s">
        <v>287</v>
      </c>
      <c r="B10" s="135">
        <f t="shared" si="1"/>
        <v>15</v>
      </c>
      <c r="C10" s="164">
        <f>'Matchs joués'!B9</f>
        <v>4</v>
      </c>
      <c r="D10" s="128">
        <f t="shared" si="0"/>
        <v>3.75</v>
      </c>
      <c r="E10" s="128">
        <f>'Temps de jeu'!B9</f>
        <v>33.75</v>
      </c>
      <c r="F10" s="128">
        <f t="shared" si="2"/>
        <v>135</v>
      </c>
      <c r="G10" s="128">
        <f t="shared" si="3"/>
        <v>9</v>
      </c>
      <c r="H10" s="293">
        <f>COUNTIFS('Données brutes'!R:R,"GE",'Données brutes'!E:E,"LEA")</f>
        <v>2</v>
      </c>
      <c r="I10" s="293">
        <f>COUNTIFS('Données brutes'!R:R,"ALG",'Données brutes'!E:E,"LEA")</f>
        <v>1</v>
      </c>
      <c r="J10" s="293">
        <f>COUNTIFS('Données brutes'!R:R,"ALD",'Données brutes'!E:E,"LEA")</f>
        <v>1</v>
      </c>
      <c r="K10" s="293">
        <f>COUNTIFS('Données brutes'!R:R,"PVT",'Données brutes'!E:E,"LEA")</f>
        <v>3</v>
      </c>
      <c r="L10" s="293">
        <f>COUNTIFS('Données brutes'!R:R,"Zone",'Données brutes'!E:E,"LEA")</f>
        <v>0</v>
      </c>
      <c r="M10" s="293">
        <f>COUNTIFS('Données brutes'!R:R,"Passif",'Données brutes'!E:E,"LEA")</f>
        <v>0</v>
      </c>
      <c r="N10" s="294">
        <f>COUNTIFS('Données brutes'!R:R,"Marcher",'Données brutes'!E:E,"LEA")</f>
        <v>1</v>
      </c>
      <c r="O10" s="294">
        <f>COUNTIFS('Données brutes'!$R:$R,"KF",'Données brutes'!$E:$E,"LEA")</f>
        <v>0</v>
      </c>
      <c r="P10" s="294">
        <f>COUNTIFS('Données brutes'!$R:$R,"Passe centrale",'Données brutes'!$E:$E,"LEA")</f>
        <v>0</v>
      </c>
      <c r="Q10" s="294">
        <f>COUNTIFS('Données brutes'!$R:$R,"56",'Données brutes'!$E:$E,"LEA")</f>
        <v>1</v>
      </c>
      <c r="R10" s="294">
        <f>COUNTIFS('Données brutes'!$R:$R,"12",'Données brutes'!$E:$E,"LEA")</f>
        <v>2</v>
      </c>
      <c r="S10" s="294">
        <f>COUNTIFS('Données brutes'!R:R,"PF Mauvais bloc",'Données brutes'!E:E,"LEA")</f>
        <v>2</v>
      </c>
      <c r="T10" s="303">
        <f>COUNTIFS('Données brutes'!R:R,"Autres",'Données brutes'!E:E,"LEA")</f>
        <v>2</v>
      </c>
    </row>
    <row r="11" spans="1:20" x14ac:dyDescent="0.35">
      <c r="A11" s="16" t="s">
        <v>288</v>
      </c>
      <c r="B11" s="135">
        <f t="shared" si="1"/>
        <v>7</v>
      </c>
      <c r="C11" s="164">
        <f>'Matchs joués'!B10</f>
        <v>4</v>
      </c>
      <c r="D11" s="128">
        <f t="shared" si="0"/>
        <v>1.75</v>
      </c>
      <c r="E11" s="128">
        <f>'Temps de jeu'!B10</f>
        <v>28.75</v>
      </c>
      <c r="F11" s="128">
        <f t="shared" si="2"/>
        <v>115</v>
      </c>
      <c r="G11" s="128">
        <f t="shared" si="3"/>
        <v>16.428571428571427</v>
      </c>
      <c r="H11" s="293">
        <f>COUNTIFS('Données brutes'!R:R,"GE",'Données brutes'!E:E,"MAELLE")</f>
        <v>1</v>
      </c>
      <c r="I11" s="293">
        <f>COUNTIFS('Données brutes'!R:R,"ALG",'Données brutes'!E:E,"MAELLE")</f>
        <v>0</v>
      </c>
      <c r="J11" s="293">
        <f>COUNTIFS('Données brutes'!R:R,"ALD",'Données brutes'!E:E,"MAELLE")</f>
        <v>0</v>
      </c>
      <c r="K11" s="293">
        <f>COUNTIFS('Données brutes'!R:R,"PVT",'Données brutes'!E:E,"MAELLE")</f>
        <v>4</v>
      </c>
      <c r="L11" s="293">
        <f>COUNTIFS('Données brutes'!R:R,"Zone",'Données brutes'!E:E,"MAELLE")</f>
        <v>0</v>
      </c>
      <c r="M11" s="293">
        <f>COUNTIFS('Données brutes'!R:R,"Passif",'Données brutes'!E:E,"MAELLE")</f>
        <v>0</v>
      </c>
      <c r="N11" s="294">
        <f>COUNTIFS('Données brutes'!R:R,"Marcher",'Données brutes'!E:E,"MAELLE")</f>
        <v>0</v>
      </c>
      <c r="O11" s="294">
        <f>COUNTIFS('Données brutes'!$R:$R,"KF",'Données brutes'!$E:$E,"MAELLE")</f>
        <v>0</v>
      </c>
      <c r="P11" s="294">
        <f>COUNTIFS('Données brutes'!$R:$R,"Passe centrale",'Données brutes'!$E:$E,"MAELLE")</f>
        <v>0</v>
      </c>
      <c r="Q11" s="294">
        <f>COUNTIFS('Données brutes'!$R:$R,"56",'Données brutes'!$E:$E,"MAELLE")</f>
        <v>0</v>
      </c>
      <c r="R11" s="294">
        <f>COUNTIFS('Données brutes'!$R:$R,"12",'Données brutes'!$E:$E,"MAELLE")</f>
        <v>0</v>
      </c>
      <c r="S11" s="294">
        <f>COUNTIFS('Données brutes'!R:R,"PF Mauvais bloc",'Données brutes'!E:E,"MAELLE")</f>
        <v>2</v>
      </c>
      <c r="T11" s="303">
        <f>COUNTIFS('Données brutes'!R:R,"Autres",'Données brutes'!E:E,"MAELLE")</f>
        <v>0</v>
      </c>
    </row>
    <row r="12" spans="1:20" x14ac:dyDescent="0.35">
      <c r="A12" s="16" t="s">
        <v>289</v>
      </c>
      <c r="B12" s="135">
        <f t="shared" si="1"/>
        <v>6</v>
      </c>
      <c r="C12" s="164">
        <f>'Matchs joués'!B11</f>
        <v>4</v>
      </c>
      <c r="D12" s="128">
        <f t="shared" si="0"/>
        <v>1.5</v>
      </c>
      <c r="E12" s="128">
        <f>'Temps de jeu'!B11</f>
        <v>30</v>
      </c>
      <c r="F12" s="128">
        <f t="shared" si="2"/>
        <v>120</v>
      </c>
      <c r="G12" s="128">
        <f t="shared" si="3"/>
        <v>20</v>
      </c>
      <c r="H12" s="293">
        <f>COUNTIFS('Données brutes'!R:R,"GE",'Données brutes'!E:E,"KIM")</f>
        <v>2</v>
      </c>
      <c r="I12" s="293">
        <f>COUNTIFS('Données brutes'!R:R,"ALG",'Données brutes'!E:E,"KIM")</f>
        <v>0</v>
      </c>
      <c r="J12" s="293">
        <f>COUNTIFS('Données brutes'!R:R,"ALD",'Données brutes'!E:E,"KIM")</f>
        <v>0</v>
      </c>
      <c r="K12" s="293">
        <f>COUNTIFS('Données brutes'!R:R,"PVT",'Données brutes'!E:E,"KIM")</f>
        <v>1</v>
      </c>
      <c r="L12" s="293">
        <f>COUNTIFS('Données brutes'!R:R,"Zone",'Données brutes'!E:E,"KIM")</f>
        <v>0</v>
      </c>
      <c r="M12" s="293">
        <f>COUNTIFS('Données brutes'!R:R,"Passif",'Données brutes'!E:E,"KIM")</f>
        <v>0</v>
      </c>
      <c r="N12" s="294">
        <f>COUNTIFS('Données brutes'!R:R,"Marcher",'Données brutes'!E:E,"KIM")</f>
        <v>0</v>
      </c>
      <c r="O12" s="294">
        <f>COUNTIFS('Données brutes'!$R:$R,"KF",'Données brutes'!$E:$E,"KIM")</f>
        <v>0</v>
      </c>
      <c r="P12" s="294">
        <f>COUNTIFS('Données brutes'!$R:$R,"Passe centrale",'Données brutes'!$E:$E,"KIM")</f>
        <v>1</v>
      </c>
      <c r="Q12" s="294">
        <f>COUNTIFS('Données brutes'!$R:$R,"56",'Données brutes'!$E:$E,"KIM")</f>
        <v>0</v>
      </c>
      <c r="R12" s="294">
        <f>COUNTIFS('Données brutes'!$R:$R,"12",'Données brutes'!$E:$E,"KIM")</f>
        <v>1</v>
      </c>
      <c r="S12" s="294">
        <f>COUNTIFS('Données brutes'!R:R,"PF Mauvais bloc",'Données brutes'!E:E,"KIM")</f>
        <v>1</v>
      </c>
      <c r="T12" s="303">
        <f>COUNTIFS('Données brutes'!R:R,"Autres",'Données brutes'!E:E,"KIM")</f>
        <v>0</v>
      </c>
    </row>
    <row r="13" spans="1:20" x14ac:dyDescent="0.35">
      <c r="A13" s="16" t="s">
        <v>433</v>
      </c>
      <c r="B13" s="135">
        <f t="shared" si="1"/>
        <v>7</v>
      </c>
      <c r="C13" s="164">
        <f>'Matchs joués'!B12</f>
        <v>4</v>
      </c>
      <c r="D13" s="128">
        <f t="shared" si="0"/>
        <v>1.75</v>
      </c>
      <c r="E13" s="128">
        <f>'Temps de jeu'!B12</f>
        <v>30</v>
      </c>
      <c r="F13" s="128">
        <f t="shared" si="2"/>
        <v>120</v>
      </c>
      <c r="G13" s="128">
        <f t="shared" si="3"/>
        <v>17.142857142857142</v>
      </c>
      <c r="H13" s="293">
        <f>COUNTIFS('Données brutes'!R:R,"GE",'Données brutes'!E:E,"MATHILDE")</f>
        <v>0</v>
      </c>
      <c r="I13" s="293">
        <f>COUNTIFS('Données brutes'!R:R,"ALG",'Données brutes'!E:E,"MATHILDE")</f>
        <v>0</v>
      </c>
      <c r="J13" s="293">
        <f>COUNTIFS('Données brutes'!R:R,"ALD",'Données brutes'!E:E,"MATHILDE")</f>
        <v>0</v>
      </c>
      <c r="K13" s="293">
        <f>COUNTIFS('Données brutes'!R:R,"PVT",'Données brutes'!E:E,"MATHILDE")</f>
        <v>0</v>
      </c>
      <c r="L13" s="293">
        <f>COUNTIFS('Données brutes'!R:R,"Zone",'Données brutes'!E:E,"MATHILDE")</f>
        <v>0</v>
      </c>
      <c r="M13" s="293">
        <f>COUNTIFS('Données brutes'!R:R,"Passif",'Données brutes'!E:E,"MATHILDE")</f>
        <v>0</v>
      </c>
      <c r="N13" s="294">
        <f>COUNTIFS('Données brutes'!R:R,"Marcher",'Données brutes'!E:E,"MATHILDE")</f>
        <v>2</v>
      </c>
      <c r="O13" s="294">
        <f>COUNTIFS('Données brutes'!$R:$R,"KF",'Données brutes'!$E:$E,"MATHILDE")</f>
        <v>0</v>
      </c>
      <c r="P13" s="294">
        <f>COUNTIFS('Données brutes'!$R:$R,"Passe centrale",'Données brutes'!$E:$E,"MATHILDE")</f>
        <v>1</v>
      </c>
      <c r="Q13" s="294">
        <f>COUNTIFS('Données brutes'!$R:$R,"56",'Données brutes'!$E:$E,"MATHILDE")</f>
        <v>0</v>
      </c>
      <c r="R13" s="294">
        <f>COUNTIFS('Données brutes'!$R:$R,"12",'Données brutes'!$E:$E,"MATHILDE")</f>
        <v>2</v>
      </c>
      <c r="S13" s="294">
        <f>COUNTIFS('Données brutes'!R:R,"PF Mauvais bloc",'Données brutes'!E:E,"MATHILDE")</f>
        <v>1</v>
      </c>
      <c r="T13" s="303">
        <f>COUNTIFS('Données brutes'!R:R,"Autres",'Données brutes'!E:E,"MATHILDE")</f>
        <v>1</v>
      </c>
    </row>
    <row r="14" spans="1:20" x14ac:dyDescent="0.35">
      <c r="A14" s="16" t="s">
        <v>290</v>
      </c>
      <c r="B14" s="135">
        <f t="shared" si="1"/>
        <v>2</v>
      </c>
      <c r="C14" s="164">
        <f>'Matchs joués'!B13</f>
        <v>4</v>
      </c>
      <c r="D14" s="128">
        <f t="shared" si="0"/>
        <v>0.5</v>
      </c>
      <c r="E14" s="128">
        <f>'Temps de jeu'!B13</f>
        <v>30</v>
      </c>
      <c r="F14" s="128">
        <f t="shared" si="2"/>
        <v>120</v>
      </c>
      <c r="G14" s="128">
        <f t="shared" si="3"/>
        <v>60</v>
      </c>
      <c r="H14" s="293">
        <f>COUNTIFS('Données brutes'!R:R,"GE",'Données brutes'!E:E,"JULIE")</f>
        <v>0</v>
      </c>
      <c r="I14" s="293">
        <f>COUNTIFS('Données brutes'!R:R,"ALG",'Données brutes'!E:E,"JULIE")</f>
        <v>0</v>
      </c>
      <c r="J14" s="293">
        <f>COUNTIFS('Données brutes'!R:R,"ALD",'Données brutes'!E:E,"JULIE")</f>
        <v>0</v>
      </c>
      <c r="K14" s="293">
        <f>COUNTIFS('Données brutes'!R:R,"PVT",'Données brutes'!E:E,"JULIE")</f>
        <v>0</v>
      </c>
      <c r="L14" s="293">
        <f>COUNTIFS('Données brutes'!R:R,"Zone",'Données brutes'!E:E,"JULIE")</f>
        <v>1</v>
      </c>
      <c r="M14" s="293">
        <f>COUNTIFS('Données brutes'!R:R,"Passif",'Données brutes'!E:E,"JULIE")</f>
        <v>0</v>
      </c>
      <c r="N14" s="294">
        <f>COUNTIFS('Données brutes'!R:R,"Marcher",'Données brutes'!E:E,"JULIE")</f>
        <v>0</v>
      </c>
      <c r="O14" s="294">
        <f>COUNTIFS('Données brutes'!$R:$R,"KF",'Données brutes'!$E:$E,"JULIE")</f>
        <v>0</v>
      </c>
      <c r="P14" s="294">
        <f>COUNTIFS('Données brutes'!$R:$R,"Passe centrale",'Données brutes'!$E:$E,"JULIE")</f>
        <v>0</v>
      </c>
      <c r="Q14" s="294">
        <f>COUNTIFS('Données brutes'!$R:$R,"56",'Données brutes'!$E:$E,"JULIE")</f>
        <v>0</v>
      </c>
      <c r="R14" s="294">
        <f>COUNTIFS('Données brutes'!$R:$R,"12",'Données brutes'!$E:$E,"JULIE")</f>
        <v>0</v>
      </c>
      <c r="S14" s="294">
        <f>COUNTIFS('Données brutes'!R:R,"PF Mauvais bloc",'Données brutes'!E:E,"JULIE")</f>
        <v>0</v>
      </c>
      <c r="T14" s="303">
        <f>COUNTIFS('Données brutes'!R:R,"Autres",'Données brutes'!E:E,"JULIE")</f>
        <v>1</v>
      </c>
    </row>
    <row r="15" spans="1:20" x14ac:dyDescent="0.35">
      <c r="A15" s="16" t="s">
        <v>291</v>
      </c>
      <c r="B15" s="135">
        <f t="shared" si="1"/>
        <v>0</v>
      </c>
      <c r="C15" s="164">
        <f>'Matchs joués'!B14</f>
        <v>4</v>
      </c>
      <c r="D15" s="128">
        <f t="shared" si="0"/>
        <v>0</v>
      </c>
      <c r="E15" s="128">
        <f>'Temps de jeu'!B14</f>
        <v>30</v>
      </c>
      <c r="F15" s="128">
        <f t="shared" si="2"/>
        <v>120</v>
      </c>
      <c r="G15" s="128" t="e">
        <f t="shared" si="3"/>
        <v>#DIV/0!</v>
      </c>
      <c r="H15" s="293">
        <f>COUNTIFS('Données brutes'!R:R,"GE",'Données brutes'!E:E,"CAMILLE T")</f>
        <v>0</v>
      </c>
      <c r="I15" s="293">
        <f>COUNTIFS('Données brutes'!R:R,"ALG",'Données brutes'!E:E,"CAMILLE T")</f>
        <v>0</v>
      </c>
      <c r="J15" s="293">
        <f>COUNTIFS('Données brutes'!R:R,"ALD",'Données brutes'!E:E,"CAMILLE T")</f>
        <v>0</v>
      </c>
      <c r="K15" s="293">
        <f>COUNTIFS('Données brutes'!R:R,"PVT",'Données brutes'!E:E,"CAMILLE T")</f>
        <v>0</v>
      </c>
      <c r="L15" s="293">
        <f>COUNTIFS('Données brutes'!R:R,"Zone",'Données brutes'!E:E,"CAMILLE T")</f>
        <v>0</v>
      </c>
      <c r="M15" s="293">
        <f>COUNTIFS('Données brutes'!R:R,"Passif",'Données brutes'!E:E,"CAMILLE T")</f>
        <v>0</v>
      </c>
      <c r="N15" s="294">
        <f>COUNTIFS('Données brutes'!R:R,"Marcher",'Données brutes'!E:E,"CAMILLE T")</f>
        <v>0</v>
      </c>
      <c r="O15" s="294">
        <f>COUNTIFS('Données brutes'!$R:$R,"KF",'Données brutes'!$E:$E,"CAMILLE T")</f>
        <v>0</v>
      </c>
      <c r="P15" s="294">
        <f>COUNTIFS('Données brutes'!$R:$R,"Passe centrale",'Données brutes'!$E:$E,"CAMILLE T")</f>
        <v>0</v>
      </c>
      <c r="Q15" s="294">
        <f>COUNTIFS('Données brutes'!$R:$R,"56",'Données brutes'!$E:$E,"CAMILLE T")</f>
        <v>0</v>
      </c>
      <c r="R15" s="294">
        <f>COUNTIFS('Données brutes'!$R:$R,"12",'Données brutes'!$E:$E,"CAMILLE T")</f>
        <v>0</v>
      </c>
      <c r="S15" s="294">
        <f>COUNTIFS('Données brutes'!R:R,"PF Mauvais bloc",'Données brutes'!E:E,"CAMILLE T")</f>
        <v>0</v>
      </c>
      <c r="T15" s="303">
        <f>COUNTIFS('Données brutes'!R:R,"Autres",'Données brutes'!E:E,"CAMILLE T")</f>
        <v>0</v>
      </c>
    </row>
    <row r="16" spans="1:20" x14ac:dyDescent="0.35">
      <c r="A16" s="16" t="s">
        <v>292</v>
      </c>
      <c r="B16" s="135">
        <f t="shared" si="1"/>
        <v>1</v>
      </c>
      <c r="C16" s="164">
        <f>'Matchs joués'!B15</f>
        <v>3</v>
      </c>
      <c r="D16" s="128">
        <f t="shared" si="0"/>
        <v>0.33333333333333331</v>
      </c>
      <c r="E16" s="128">
        <f>'Temps de jeu'!B15</f>
        <v>20</v>
      </c>
      <c r="F16" s="128">
        <f t="shared" si="2"/>
        <v>60</v>
      </c>
      <c r="G16" s="128">
        <f t="shared" si="3"/>
        <v>60</v>
      </c>
      <c r="H16" s="293">
        <f>COUNTIFS('Données brutes'!R:R,"GE",'Données brutes'!E:E,"MAELYS")</f>
        <v>0</v>
      </c>
      <c r="I16" s="293">
        <f>COUNTIFS('Données brutes'!R:R,"ALG",'Données brutes'!E:E,"MAELYS")</f>
        <v>0</v>
      </c>
      <c r="J16" s="293">
        <f>COUNTIFS('Données brutes'!R:R,"ALD",'Données brutes'!E:E,"MAELYS")</f>
        <v>0</v>
      </c>
      <c r="K16" s="293">
        <f>COUNTIFS('Données brutes'!R:R,"PVT",'Données brutes'!E:E,"MAELYS")</f>
        <v>0</v>
      </c>
      <c r="L16" s="293">
        <f>COUNTIFS('Données brutes'!R:R,"Zone",'Données brutes'!E:E,"MAELYS")</f>
        <v>0</v>
      </c>
      <c r="M16" s="293">
        <f>COUNTIFS('Données brutes'!R:R,"Passif",'Données brutes'!E:E,"MAELYS")</f>
        <v>0</v>
      </c>
      <c r="N16" s="294">
        <f>COUNTIFS('Données brutes'!R:R,"Marcher",'Données brutes'!E:E,"MAELYS")</f>
        <v>0</v>
      </c>
      <c r="O16" s="294">
        <f>COUNTIFS('Données brutes'!$R:$R,"KF",'Données brutes'!$E:$E,"MAELYS")</f>
        <v>0</v>
      </c>
      <c r="P16" s="294">
        <f>COUNTIFS('Données brutes'!$R:$R,"Passe centrale",'Données brutes'!$E:$E,"MAELYS")</f>
        <v>0</v>
      </c>
      <c r="Q16" s="294">
        <f>COUNTIFS('Données brutes'!$R:$R,"56",'Données brutes'!$E:$E,"MAELYS")</f>
        <v>0</v>
      </c>
      <c r="R16" s="294">
        <f>COUNTIFS('Données brutes'!$R:$R,"12",'Données brutes'!$E:$E,"MAELYS")</f>
        <v>0</v>
      </c>
      <c r="S16" s="294">
        <f>COUNTIFS('Données brutes'!R:R,"PF Mauvais bloc",'Données brutes'!E:E,"MAELYS")</f>
        <v>1</v>
      </c>
      <c r="T16" s="303">
        <f>COUNTIFS('Données brutes'!R:R,"Autres",'Données brutes'!E:E,"MAELYS")</f>
        <v>0</v>
      </c>
    </row>
    <row r="17" spans="1:20" x14ac:dyDescent="0.35">
      <c r="A17" s="16" t="s">
        <v>293</v>
      </c>
      <c r="B17" s="135">
        <f t="shared" si="1"/>
        <v>0</v>
      </c>
      <c r="C17" s="164">
        <f>'Matchs joués'!B16</f>
        <v>0</v>
      </c>
      <c r="D17" s="128" t="e">
        <f t="shared" si="0"/>
        <v>#DIV/0!</v>
      </c>
      <c r="E17" s="128">
        <f>'Temps de jeu'!B16</f>
        <v>0</v>
      </c>
      <c r="F17" s="128">
        <f t="shared" si="2"/>
        <v>0</v>
      </c>
      <c r="G17" s="128" t="e">
        <f t="shared" si="3"/>
        <v>#DIV/0!</v>
      </c>
      <c r="H17" s="293">
        <f>COUNTIFS('Données brutes'!R:R,"GE",'Données brutes'!E:E,"INES")</f>
        <v>0</v>
      </c>
      <c r="I17" s="293">
        <f>COUNTIFS('Données brutes'!R:R,"ALG",'Données brutes'!E:E,"INES")</f>
        <v>0</v>
      </c>
      <c r="J17" s="293">
        <f>COUNTIFS('Données brutes'!R:R,"ALD",'Données brutes'!E:E,"INES")</f>
        <v>0</v>
      </c>
      <c r="K17" s="293">
        <f>COUNTIFS('Données brutes'!R:R,"PVT",'Données brutes'!E:E,"INES")</f>
        <v>0</v>
      </c>
      <c r="L17" s="293">
        <f>COUNTIFS('Données brutes'!R:R,"Zone",'Données brutes'!E:E,"INES")</f>
        <v>0</v>
      </c>
      <c r="M17" s="293">
        <f>COUNTIFS('Données brutes'!R:R,"Passif",'Données brutes'!E:E,"INES")</f>
        <v>0</v>
      </c>
      <c r="N17" s="294">
        <f>COUNTIFS('Données brutes'!R:R,"Marcher",'Données brutes'!E:E,"INES")</f>
        <v>0</v>
      </c>
      <c r="O17" s="294">
        <f>COUNTIFS('Données brutes'!$R:$R,"KF",'Données brutes'!$E:$E,"INES")</f>
        <v>0</v>
      </c>
      <c r="P17" s="294">
        <f>COUNTIFS('Données brutes'!$R:$R,"Passe centrale",'Données brutes'!$E:$E,"INES")</f>
        <v>0</v>
      </c>
      <c r="Q17" s="294">
        <f>COUNTIFS('Données brutes'!$R:$R,"56",'Données brutes'!$E:$E,"INES")</f>
        <v>0</v>
      </c>
      <c r="R17" s="294">
        <f>COUNTIFS('Données brutes'!$R:$R,"12",'Données brutes'!$E:$E,"INES")</f>
        <v>0</v>
      </c>
      <c r="S17" s="294">
        <f>COUNTIFS('Données brutes'!R:R,"PF Mauvais bloc",'Données brutes'!E:E,"INES")</f>
        <v>0</v>
      </c>
      <c r="T17" s="303">
        <f>COUNTIFS('Données brutes'!R:R,"Autres",'Données brutes'!E:E,"INES")</f>
        <v>0</v>
      </c>
    </row>
    <row r="18" spans="1:20" x14ac:dyDescent="0.35">
      <c r="A18" s="16" t="s">
        <v>294</v>
      </c>
      <c r="B18" s="135">
        <f t="shared" si="1"/>
        <v>0</v>
      </c>
      <c r="C18" s="164">
        <f>'Matchs joués'!B17</f>
        <v>1</v>
      </c>
      <c r="D18" s="128">
        <f t="shared" si="0"/>
        <v>0</v>
      </c>
      <c r="E18" s="128">
        <f>'Temps de jeu'!B17</f>
        <v>2.5</v>
      </c>
      <c r="F18" s="128">
        <f t="shared" si="2"/>
        <v>2.5</v>
      </c>
      <c r="G18" s="128" t="e">
        <f t="shared" si="3"/>
        <v>#DIV/0!</v>
      </c>
      <c r="H18" s="293">
        <f>COUNTIFS('Données brutes'!R:R,"GE",'Données brutes'!E:E,"INGRID")</f>
        <v>0</v>
      </c>
      <c r="I18" s="293">
        <f>COUNTIFS('Données brutes'!R:R,"ALG",'Données brutes'!E:E,"INGRID")</f>
        <v>0</v>
      </c>
      <c r="J18" s="293">
        <f>COUNTIFS('Données brutes'!R:R,"ALD",'Données brutes'!E:E,"INGRID")</f>
        <v>0</v>
      </c>
      <c r="K18" s="293">
        <f>COUNTIFS('Données brutes'!R:R,"PVT",'Données brutes'!E:E,"INGRID")</f>
        <v>0</v>
      </c>
      <c r="L18" s="293">
        <f>COUNTIFS('Données brutes'!R:R,"Zone",'Données brutes'!E:E,"INGRID")</f>
        <v>0</v>
      </c>
      <c r="M18" s="293">
        <f>COUNTIFS('Données brutes'!R:R,"Passif",'Données brutes'!E:E,"INGRID")</f>
        <v>0</v>
      </c>
      <c r="N18" s="294">
        <f>COUNTIFS('Données brutes'!R:R,"Marcher",'Données brutes'!E:E,"INGRID")</f>
        <v>0</v>
      </c>
      <c r="O18" s="294">
        <f>COUNTIFS('Données brutes'!$R:$R,"KF",'Données brutes'!$E:$E,"INGRID")</f>
        <v>0</v>
      </c>
      <c r="P18" s="294">
        <f>COUNTIFS('Données brutes'!$R:$R,"Passe centrale",'Données brutes'!$E:$E,"INGRID")</f>
        <v>0</v>
      </c>
      <c r="Q18" s="294">
        <f>COUNTIFS('Données brutes'!$R:$R,"56",'Données brutes'!$E:$E,"INGRID")</f>
        <v>0</v>
      </c>
      <c r="R18" s="294">
        <f>COUNTIFS('Données brutes'!$R:$R,"12",'Données brutes'!$E:$E,"INGRID")</f>
        <v>0</v>
      </c>
      <c r="S18" s="294">
        <f>COUNTIFS('Données brutes'!R:R,"PF Mauvais bloc",'Données brutes'!E:E,"INGRID")</f>
        <v>0</v>
      </c>
      <c r="T18" s="303">
        <f>COUNTIFS('Données brutes'!R:R,"Autres",'Données brutes'!E:E,"INGRID")</f>
        <v>0</v>
      </c>
    </row>
    <row r="19" spans="1:20" x14ac:dyDescent="0.35">
      <c r="A19" s="16" t="s">
        <v>435</v>
      </c>
      <c r="B19" s="135">
        <f t="shared" si="1"/>
        <v>0</v>
      </c>
      <c r="C19" s="164">
        <f>'Matchs joués'!B18</f>
        <v>4</v>
      </c>
      <c r="D19" s="128">
        <f t="shared" si="0"/>
        <v>0</v>
      </c>
      <c r="E19" s="128">
        <f>'Temps de jeu'!B18</f>
        <v>25</v>
      </c>
      <c r="F19" s="128">
        <f t="shared" si="2"/>
        <v>100</v>
      </c>
      <c r="G19" s="128" t="e">
        <f t="shared" si="3"/>
        <v>#DIV/0!</v>
      </c>
      <c r="H19" s="293">
        <f>COUNTIFS('Données brutes'!R:R,"GE",'Données brutes'!E:E,"LAURA LYNE")</f>
        <v>0</v>
      </c>
      <c r="I19" s="293">
        <f>COUNTIFS('Données brutes'!R:R,"ALG",'Données brutes'!E:E,"LAURA LYNE")</f>
        <v>0</v>
      </c>
      <c r="J19" s="293">
        <f>COUNTIFS('Données brutes'!R:R,"ALD",'Données brutes'!E:E,"LAURA LYNE")</f>
        <v>0</v>
      </c>
      <c r="K19" s="293">
        <f>COUNTIFS('Données brutes'!R:R,"PVT",'Données brutes'!E:E,"LAURA LYNE")</f>
        <v>0</v>
      </c>
      <c r="L19" s="293">
        <f>COUNTIFS('Données brutes'!R:R,"Zone",'Données brutes'!E:E,"LAURA LYNE")</f>
        <v>0</v>
      </c>
      <c r="M19" s="293">
        <f>COUNTIFS('Données brutes'!R:R,"Passif",'Données brutes'!E:E,"LAURA LYNE")</f>
        <v>0</v>
      </c>
      <c r="N19" s="294">
        <f>COUNTIFS('Données brutes'!R:R,"Marcher",'Données brutes'!E:E,"LAURA LYNE")</f>
        <v>0</v>
      </c>
      <c r="O19" s="294">
        <f>COUNTIFS('Données brutes'!$R:$R,"KF",'Données brutes'!$E:$E,"LAURA LYNE")</f>
        <v>0</v>
      </c>
      <c r="P19" s="294">
        <f>COUNTIFS('Données brutes'!$R:$R,"Passe centrale",'Données brutes'!$E:$E,"LAURA LYNE")</f>
        <v>0</v>
      </c>
      <c r="Q19" s="294">
        <f>COUNTIFS('Données brutes'!$R:$R,"56",'Données brutes'!$E:$E,"LAURA LYNE")</f>
        <v>0</v>
      </c>
      <c r="R19" s="294">
        <f>COUNTIFS('Données brutes'!$R:$R,"12",'Données brutes'!$E:$E,"LAURA LYNE")</f>
        <v>0</v>
      </c>
      <c r="S19" s="294">
        <f>COUNTIFS('Données brutes'!R:R,"PF Mauvais bloc",'Données brutes'!E:E,"LAURA LYNE")</f>
        <v>0</v>
      </c>
      <c r="T19" s="303">
        <f>COUNTIFS('Données brutes'!R:R,"Autres",'Données brutes'!E:E,"LAURA LYNE")</f>
        <v>0</v>
      </c>
    </row>
    <row r="20" spans="1:20" x14ac:dyDescent="0.35">
      <c r="A20" s="16" t="s">
        <v>437</v>
      </c>
      <c r="B20" s="135">
        <f t="shared" si="1"/>
        <v>0</v>
      </c>
      <c r="C20" s="164">
        <f>'Matchs joués'!B19</f>
        <v>0</v>
      </c>
      <c r="D20" s="128" t="e">
        <f t="shared" si="0"/>
        <v>#DIV/0!</v>
      </c>
      <c r="E20" s="128">
        <f>'Temps de jeu'!B19</f>
        <v>0</v>
      </c>
      <c r="F20" s="128">
        <f t="shared" si="2"/>
        <v>0</v>
      </c>
      <c r="G20" s="128" t="e">
        <f t="shared" si="3"/>
        <v>#DIV/0!</v>
      </c>
      <c r="H20" s="293">
        <f>COUNTIFS('Données brutes'!R:R,"GE",'Données brutes'!E:E,"HABI")</f>
        <v>0</v>
      </c>
      <c r="I20" s="293">
        <f>COUNTIFS('Données brutes'!R:R,"ALG",'Données brutes'!E:E,"HABI")</f>
        <v>0</v>
      </c>
      <c r="J20" s="293">
        <f>COUNTIFS('Données brutes'!R:R,"ALD",'Données brutes'!E:E,"HABI")</f>
        <v>0</v>
      </c>
      <c r="K20" s="293">
        <f>COUNTIFS('Données brutes'!R:R,"PVT",'Données brutes'!E:E,"HABI")</f>
        <v>0</v>
      </c>
      <c r="L20" s="293">
        <f>COUNTIFS('Données brutes'!R:R,"Zone",'Données brutes'!E:E,"HABI")</f>
        <v>0</v>
      </c>
      <c r="M20" s="293">
        <f>COUNTIFS('Données brutes'!R:R,"Passif",'Données brutes'!E:E,"HABI")</f>
        <v>0</v>
      </c>
      <c r="N20" s="294">
        <f>COUNTIFS('Données brutes'!R:R,"Marcher",'Données brutes'!E:E,"HABI")</f>
        <v>0</v>
      </c>
      <c r="O20" s="294">
        <f>COUNTIFS('Données brutes'!$R:$R,"KF",'Données brutes'!$E:$E,"HABI")</f>
        <v>0</v>
      </c>
      <c r="P20" s="294">
        <f>COUNTIFS('Données brutes'!$R:$R,"Passe centrale",'Données brutes'!$E:$E,"HABI")</f>
        <v>0</v>
      </c>
      <c r="Q20" s="294">
        <f>COUNTIFS('Données brutes'!$R:$R,"56",'Données brutes'!$E:$E,"HABI")</f>
        <v>0</v>
      </c>
      <c r="R20" s="294">
        <f>COUNTIFS('Données brutes'!$R:$R,"12",'Données brutes'!$E:$E,"HABI")</f>
        <v>0</v>
      </c>
      <c r="S20" s="294">
        <f>COUNTIFS('Données brutes'!R:R,"PF Mauvais bloc",'Données brutes'!E:E,"HABI")</f>
        <v>0</v>
      </c>
      <c r="T20" s="303">
        <f>COUNTIFS('Données brutes'!R:R,"Autres",'Données brutes'!E:E,"HABI")</f>
        <v>0</v>
      </c>
    </row>
    <row r="21" spans="1:20" x14ac:dyDescent="0.35">
      <c r="A21" s="137"/>
      <c r="B21" s="136"/>
      <c r="C21" s="136"/>
      <c r="D21" s="136"/>
      <c r="E21" s="136"/>
      <c r="F21" s="136"/>
      <c r="G21" s="136"/>
      <c r="H21" s="304"/>
      <c r="I21" s="304"/>
      <c r="J21" s="304"/>
      <c r="K21" s="304"/>
      <c r="L21" s="304"/>
      <c r="M21" s="304"/>
      <c r="N21" s="304"/>
      <c r="O21" s="304"/>
      <c r="P21" s="304"/>
      <c r="Q21" s="304"/>
      <c r="R21" s="304"/>
      <c r="S21" s="304"/>
      <c r="T21" s="305"/>
    </row>
    <row r="22" spans="1:20" ht="15" thickBot="1" x14ac:dyDescent="0.4">
      <c r="A22" s="35" t="s">
        <v>342</v>
      </c>
      <c r="B22" s="165">
        <f>SUM(B4:B20)</f>
        <v>58</v>
      </c>
      <c r="C22" s="165"/>
      <c r="D22" s="165" t="e">
        <f t="shared" ref="D22:T22" si="4">SUM(D4:D20)</f>
        <v>#DIV/0!</v>
      </c>
      <c r="E22" s="165"/>
      <c r="F22" s="165"/>
      <c r="G22" s="165"/>
      <c r="H22" s="306">
        <f t="shared" si="4"/>
        <v>9</v>
      </c>
      <c r="I22" s="306">
        <f t="shared" si="4"/>
        <v>2</v>
      </c>
      <c r="J22" s="306">
        <f t="shared" si="4"/>
        <v>1</v>
      </c>
      <c r="K22" s="306">
        <f t="shared" si="4"/>
        <v>14</v>
      </c>
      <c r="L22" s="306">
        <f t="shared" si="4"/>
        <v>1</v>
      </c>
      <c r="M22" s="306">
        <f t="shared" si="4"/>
        <v>0</v>
      </c>
      <c r="N22" s="306">
        <f t="shared" si="4"/>
        <v>6</v>
      </c>
      <c r="O22" s="306">
        <f t="shared" si="4"/>
        <v>1</v>
      </c>
      <c r="P22" s="306">
        <f t="shared" si="4"/>
        <v>2</v>
      </c>
      <c r="Q22" s="306">
        <f t="shared" si="4"/>
        <v>4</v>
      </c>
      <c r="R22" s="306">
        <f t="shared" si="4"/>
        <v>6</v>
      </c>
      <c r="S22" s="306">
        <f t="shared" si="4"/>
        <v>7</v>
      </c>
      <c r="T22" s="307">
        <f t="shared" si="4"/>
        <v>5</v>
      </c>
    </row>
    <row r="23" spans="1:20" ht="42" x14ac:dyDescent="0.35">
      <c r="B23" s="166" t="s">
        <v>71</v>
      </c>
      <c r="C23" s="166" t="s">
        <v>386</v>
      </c>
      <c r="D23" s="166" t="s">
        <v>154</v>
      </c>
      <c r="E23" s="166"/>
      <c r="F23" s="166"/>
      <c r="G23" s="166"/>
      <c r="H23" s="166" t="s">
        <v>218</v>
      </c>
      <c r="I23" s="166" t="s">
        <v>15</v>
      </c>
      <c r="J23" s="166" t="s">
        <v>17</v>
      </c>
      <c r="K23" s="166" t="s">
        <v>151</v>
      </c>
      <c r="L23" s="166" t="s">
        <v>219</v>
      </c>
      <c r="M23" s="166" t="s">
        <v>220</v>
      </c>
      <c r="N23" s="166" t="s">
        <v>259</v>
      </c>
      <c r="O23" s="166" t="s">
        <v>313</v>
      </c>
      <c r="P23" s="166" t="s">
        <v>314</v>
      </c>
      <c r="Q23" s="166">
        <v>56</v>
      </c>
      <c r="R23" s="166">
        <v>12</v>
      </c>
      <c r="S23" s="166" t="s">
        <v>315</v>
      </c>
      <c r="T23" s="166" t="s">
        <v>209</v>
      </c>
    </row>
    <row r="24" spans="1:20" x14ac:dyDescent="0.35">
      <c r="B24" s="522" t="s">
        <v>387</v>
      </c>
      <c r="C24" s="522"/>
      <c r="D24" s="522"/>
      <c r="E24" s="13"/>
      <c r="F24" s="13"/>
      <c r="G24" s="13"/>
      <c r="H24" s="308">
        <f>H22/$B$22</f>
        <v>0.15517241379310345</v>
      </c>
      <c r="I24" s="308">
        <f t="shared" ref="I24:T24" si="5">I22/$B$22</f>
        <v>3.4482758620689655E-2</v>
      </c>
      <c r="J24" s="308">
        <f t="shared" si="5"/>
        <v>1.7241379310344827E-2</v>
      </c>
      <c r="K24" s="308">
        <f t="shared" si="5"/>
        <v>0.2413793103448276</v>
      </c>
      <c r="L24" s="308">
        <f t="shared" si="5"/>
        <v>1.7241379310344827E-2</v>
      </c>
      <c r="M24" s="308">
        <f t="shared" si="5"/>
        <v>0</v>
      </c>
      <c r="N24" s="308">
        <f t="shared" si="5"/>
        <v>0.10344827586206896</v>
      </c>
      <c r="O24" s="308">
        <f t="shared" si="5"/>
        <v>1.7241379310344827E-2</v>
      </c>
      <c r="P24" s="308">
        <f t="shared" si="5"/>
        <v>3.4482758620689655E-2</v>
      </c>
      <c r="Q24" s="308">
        <f t="shared" si="5"/>
        <v>6.8965517241379309E-2</v>
      </c>
      <c r="R24" s="308">
        <f t="shared" si="5"/>
        <v>0.10344827586206896</v>
      </c>
      <c r="S24" s="308">
        <f t="shared" si="5"/>
        <v>0.1206896551724138</v>
      </c>
      <c r="T24" s="308">
        <f t="shared" si="5"/>
        <v>8.6206896551724144E-2</v>
      </c>
    </row>
  </sheetData>
  <mergeCells count="2">
    <mergeCell ref="H1:T1"/>
    <mergeCell ref="B24:D24"/>
  </mergeCells>
  <conditionalFormatting sqref="B4:C20">
    <cfRule type="colorScale" priority="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4:D18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4:G20">
    <cfRule type="colorScale" priority="1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E4:E18">
    <cfRule type="colorScale" priority="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F4:F18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4:G17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EDB95-5C3B-4D99-8301-08BB7CAE1BEB}">
  <sheetPr codeName="Feuil31"/>
  <dimension ref="P3:S58"/>
  <sheetViews>
    <sheetView workbookViewId="0">
      <selection activeCell="N24" sqref="N24"/>
    </sheetView>
  </sheetViews>
  <sheetFormatPr baseColWidth="10" defaultRowHeight="14.5" x14ac:dyDescent="0.35"/>
  <cols>
    <col min="3" max="3" width="21.6328125" customWidth="1"/>
    <col min="17" max="17" width="20.36328125" customWidth="1"/>
    <col min="18" max="18" width="12.81640625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/>
    </row>
    <row r="5" spans="16:18" x14ac:dyDescent="0.35">
      <c r="P5" s="399"/>
      <c r="Q5" s="376" t="s">
        <v>282</v>
      </c>
      <c r="R5" s="374"/>
    </row>
    <row r="6" spans="16:18" x14ac:dyDescent="0.35">
      <c r="P6" s="399"/>
      <c r="Q6" s="376" t="s">
        <v>297</v>
      </c>
      <c r="R6" s="374"/>
    </row>
    <row r="7" spans="16:18" x14ac:dyDescent="0.35">
      <c r="P7" s="399"/>
      <c r="Q7" s="376" t="s">
        <v>296</v>
      </c>
      <c r="R7" s="374"/>
    </row>
    <row r="8" spans="16:18" x14ac:dyDescent="0.35">
      <c r="P8" s="399"/>
      <c r="Q8" s="376" t="s">
        <v>298</v>
      </c>
      <c r="R8" s="374"/>
    </row>
    <row r="9" spans="16:18" x14ac:dyDescent="0.35">
      <c r="P9" s="399"/>
      <c r="Q9" s="376" t="s">
        <v>283</v>
      </c>
      <c r="R9" s="374"/>
    </row>
    <row r="10" spans="16:18" x14ac:dyDescent="0.35">
      <c r="P10" s="403"/>
      <c r="Q10" s="377" t="s">
        <v>17</v>
      </c>
      <c r="R10" s="374"/>
    </row>
    <row r="11" spans="16:18" x14ac:dyDescent="0.35">
      <c r="P11" s="404" t="s">
        <v>458</v>
      </c>
      <c r="Q11" s="405"/>
      <c r="R11" s="374"/>
    </row>
    <row r="12" spans="16:18" x14ac:dyDescent="0.35">
      <c r="P12" s="404" t="s">
        <v>459</v>
      </c>
      <c r="Q12" s="405"/>
      <c r="R12" s="374"/>
    </row>
    <row r="13" spans="16:18" x14ac:dyDescent="0.35">
      <c r="P13" s="404" t="s">
        <v>460</v>
      </c>
      <c r="Q13" s="405"/>
      <c r="R13" s="374"/>
    </row>
    <row r="14" spans="16:18" x14ac:dyDescent="0.35">
      <c r="P14" s="398" t="s">
        <v>146</v>
      </c>
      <c r="Q14" s="379" t="s">
        <v>307</v>
      </c>
      <c r="R14" s="374"/>
    </row>
    <row r="15" spans="16:18" x14ac:dyDescent="0.35">
      <c r="P15" s="399"/>
      <c r="Q15" s="376" t="s">
        <v>308</v>
      </c>
      <c r="R15" s="374"/>
    </row>
    <row r="16" spans="16:18" ht="15" thickBot="1" x14ac:dyDescent="0.4">
      <c r="P16" s="400"/>
      <c r="Q16" s="376" t="s">
        <v>309</v>
      </c>
      <c r="R16" s="374"/>
    </row>
    <row r="17" spans="16:18" x14ac:dyDescent="0.35">
      <c r="P17" s="380"/>
      <c r="Q17" s="376" t="s">
        <v>22</v>
      </c>
      <c r="R17" s="374"/>
    </row>
    <row r="18" spans="16:18" ht="15" thickBot="1" x14ac:dyDescent="0.4">
      <c r="P18" s="381"/>
      <c r="Q18" s="382" t="s">
        <v>12</v>
      </c>
      <c r="R18" s="374"/>
    </row>
    <row r="19" spans="16:18" x14ac:dyDescent="0.35">
      <c r="Q19" s="383" t="s">
        <v>461</v>
      </c>
      <c r="R19" s="384">
        <f>SUM(R4:R18)</f>
        <v>0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/>
    </row>
    <row r="24" spans="16:18" x14ac:dyDescent="0.35">
      <c r="P24" s="399"/>
      <c r="Q24" s="376" t="s">
        <v>282</v>
      </c>
      <c r="R24" s="385"/>
    </row>
    <row r="25" spans="16:18" x14ac:dyDescent="0.35">
      <c r="P25" s="399"/>
      <c r="Q25" s="376" t="s">
        <v>297</v>
      </c>
      <c r="R25" s="385"/>
    </row>
    <row r="26" spans="16:18" x14ac:dyDescent="0.35">
      <c r="P26" s="399"/>
      <c r="Q26" s="376" t="s">
        <v>296</v>
      </c>
      <c r="R26" s="385"/>
    </row>
    <row r="27" spans="16:18" x14ac:dyDescent="0.35">
      <c r="P27" s="399"/>
      <c r="Q27" s="376" t="s">
        <v>298</v>
      </c>
      <c r="R27" s="385"/>
    </row>
    <row r="28" spans="16:18" x14ac:dyDescent="0.35">
      <c r="P28" s="399"/>
      <c r="Q28" s="376" t="s">
        <v>283</v>
      </c>
      <c r="R28" s="385"/>
    </row>
    <row r="29" spans="16:18" x14ac:dyDescent="0.35">
      <c r="P29" s="403"/>
      <c r="Q29" s="377" t="s">
        <v>17</v>
      </c>
      <c r="R29" s="385"/>
    </row>
    <row r="30" spans="16:18" x14ac:dyDescent="0.35">
      <c r="P30" s="404" t="s">
        <v>458</v>
      </c>
      <c r="Q30" s="405"/>
      <c r="R30" s="385"/>
    </row>
    <row r="31" spans="16:18" x14ac:dyDescent="0.35">
      <c r="P31" s="404" t="s">
        <v>459</v>
      </c>
      <c r="Q31" s="405"/>
      <c r="R31" s="385"/>
    </row>
    <row r="32" spans="16:18" x14ac:dyDescent="0.35">
      <c r="P32" s="404" t="s">
        <v>460</v>
      </c>
      <c r="Q32" s="405"/>
      <c r="R32" s="385"/>
    </row>
    <row r="33" spans="16:19" x14ac:dyDescent="0.35">
      <c r="P33" s="398" t="s">
        <v>146</v>
      </c>
      <c r="Q33" s="379" t="s">
        <v>307</v>
      </c>
      <c r="R33" s="385"/>
    </row>
    <row r="34" spans="16:19" x14ac:dyDescent="0.35">
      <c r="P34" s="399"/>
      <c r="Q34" s="376" t="s">
        <v>308</v>
      </c>
      <c r="R34" s="385"/>
    </row>
    <row r="35" spans="16:19" ht="15" thickBot="1" x14ac:dyDescent="0.4">
      <c r="P35" s="400"/>
      <c r="Q35" s="376" t="s">
        <v>309</v>
      </c>
      <c r="R35" s="385"/>
    </row>
    <row r="36" spans="16:19" x14ac:dyDescent="0.35">
      <c r="P36" s="380"/>
      <c r="Q36" s="376" t="s">
        <v>22</v>
      </c>
      <c r="R36" s="385"/>
    </row>
    <row r="37" spans="16:19" ht="15" thickBot="1" x14ac:dyDescent="0.4">
      <c r="P37" s="381"/>
      <c r="Q37" s="382" t="s">
        <v>12</v>
      </c>
      <c r="R37" s="385"/>
    </row>
    <row r="38" spans="16:19" x14ac:dyDescent="0.35">
      <c r="Q38" s="383" t="s">
        <v>461</v>
      </c>
      <c r="R38" s="386"/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/>
      <c r="S42" s="409" t="s">
        <v>465</v>
      </c>
    </row>
    <row r="43" spans="16:19" ht="15" thickBot="1" x14ac:dyDescent="0.4">
      <c r="P43" s="404" t="s">
        <v>459</v>
      </c>
      <c r="Q43" s="410"/>
      <c r="R43" s="394"/>
      <c r="S43" s="409"/>
    </row>
    <row r="44" spans="16:19" x14ac:dyDescent="0.35">
      <c r="P44" s="404" t="s">
        <v>460</v>
      </c>
      <c r="Q44" s="410"/>
      <c r="R44" s="394"/>
      <c r="S44" s="409"/>
    </row>
    <row r="45" spans="16:19" x14ac:dyDescent="0.35">
      <c r="P45" s="398" t="s">
        <v>295</v>
      </c>
      <c r="Q45" s="378" t="s">
        <v>15</v>
      </c>
      <c r="R45" s="388"/>
    </row>
    <row r="46" spans="16:19" x14ac:dyDescent="0.35">
      <c r="P46" s="399"/>
      <c r="Q46" s="375" t="s">
        <v>282</v>
      </c>
      <c r="R46" s="388"/>
    </row>
    <row r="47" spans="16:19" x14ac:dyDescent="0.35">
      <c r="P47" s="399"/>
      <c r="Q47" s="375" t="s">
        <v>297</v>
      </c>
      <c r="R47" s="388"/>
    </row>
    <row r="48" spans="16:19" x14ac:dyDescent="0.35">
      <c r="P48" s="399"/>
      <c r="Q48" s="375" t="s">
        <v>296</v>
      </c>
      <c r="R48" s="388"/>
    </row>
    <row r="49" spans="16:18" x14ac:dyDescent="0.35">
      <c r="P49" s="399"/>
      <c r="Q49" s="375" t="s">
        <v>298</v>
      </c>
      <c r="R49" s="388"/>
    </row>
    <row r="50" spans="16:18" x14ac:dyDescent="0.35">
      <c r="P50" s="399"/>
      <c r="Q50" s="375" t="s">
        <v>283</v>
      </c>
      <c r="R50" s="388"/>
    </row>
    <row r="51" spans="16:18" x14ac:dyDescent="0.35">
      <c r="P51" s="403"/>
      <c r="Q51" s="352" t="s">
        <v>17</v>
      </c>
      <c r="R51" s="388"/>
    </row>
    <row r="52" spans="16:18" x14ac:dyDescent="0.35">
      <c r="P52" s="398" t="s">
        <v>146</v>
      </c>
      <c r="Q52" s="378" t="s">
        <v>307</v>
      </c>
      <c r="R52" s="389"/>
    </row>
    <row r="53" spans="16:18" x14ac:dyDescent="0.35">
      <c r="P53" s="399"/>
      <c r="Q53" s="375" t="s">
        <v>308</v>
      </c>
      <c r="R53" s="389"/>
    </row>
    <row r="54" spans="16:18" ht="15" thickBot="1" x14ac:dyDescent="0.4">
      <c r="P54" s="400"/>
      <c r="Q54" s="375" t="s">
        <v>309</v>
      </c>
      <c r="R54" s="389"/>
    </row>
    <row r="55" spans="16:18" x14ac:dyDescent="0.35">
      <c r="P55" s="380"/>
      <c r="Q55" s="375" t="s">
        <v>22</v>
      </c>
      <c r="R55" s="389"/>
    </row>
    <row r="56" spans="16:18" ht="15" thickBot="1" x14ac:dyDescent="0.4">
      <c r="P56" s="381"/>
      <c r="Q56" s="143" t="s">
        <v>12</v>
      </c>
      <c r="R56" s="389"/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2C8CB5-4E08-421D-BC93-C1DC05B04311}">
  <sheetPr codeName="Feuil18"/>
  <dimension ref="A1:T23"/>
  <sheetViews>
    <sheetView topLeftCell="A2" zoomScale="90" zoomScaleNormal="90" workbookViewId="0">
      <selection activeCell="T4" sqref="T4:T20"/>
    </sheetView>
  </sheetViews>
  <sheetFormatPr baseColWidth="10" defaultRowHeight="14.5" x14ac:dyDescent="0.35"/>
  <cols>
    <col min="1" max="1" width="22.1796875" customWidth="1"/>
    <col min="2" max="2" width="9" customWidth="1"/>
    <col min="3" max="4" width="6.90625" customWidth="1"/>
    <col min="5" max="5" width="5.7265625" customWidth="1"/>
    <col min="6" max="6" width="4.36328125" customWidth="1"/>
    <col min="7" max="7" width="4.08984375" customWidth="1"/>
    <col min="8" max="8" width="4.26953125" customWidth="1"/>
    <col min="9" max="9" width="4.6328125" customWidth="1"/>
    <col min="10" max="10" width="4.7265625" customWidth="1"/>
    <col min="11" max="11" width="5.08984375" customWidth="1"/>
    <col min="12" max="12" width="4.26953125" customWidth="1"/>
    <col min="13" max="13" width="8" customWidth="1"/>
    <col min="14" max="14" width="9.1796875" customWidth="1"/>
    <col min="18" max="18" width="11.54296875" bestFit="1" customWidth="1"/>
    <col min="20" max="20" width="22.54296875" customWidth="1"/>
  </cols>
  <sheetData>
    <row r="1" spans="1:20" x14ac:dyDescent="0.35">
      <c r="A1" s="523" t="s">
        <v>337</v>
      </c>
      <c r="B1" s="138"/>
      <c r="C1" s="138"/>
      <c r="D1" s="138"/>
      <c r="E1" s="526" t="s">
        <v>72</v>
      </c>
      <c r="F1" s="526"/>
      <c r="G1" s="526"/>
      <c r="H1" s="526"/>
      <c r="I1" s="526"/>
      <c r="J1" s="526"/>
      <c r="K1" s="526"/>
      <c r="L1" s="526"/>
      <c r="M1" s="527"/>
      <c r="N1" s="527"/>
      <c r="O1" s="138"/>
      <c r="P1" s="138"/>
      <c r="Q1" s="139"/>
      <c r="R1" s="140"/>
    </row>
    <row r="2" spans="1:20" ht="21" x14ac:dyDescent="0.35">
      <c r="A2" s="524"/>
      <c r="B2" s="127" t="s">
        <v>217</v>
      </c>
      <c r="C2" s="127" t="s">
        <v>386</v>
      </c>
      <c r="D2" s="127" t="s">
        <v>154</v>
      </c>
      <c r="E2" s="127" t="s">
        <v>15</v>
      </c>
      <c r="F2" s="127" t="s">
        <v>17</v>
      </c>
      <c r="G2" s="127" t="s">
        <v>151</v>
      </c>
      <c r="H2" s="127" t="s">
        <v>218</v>
      </c>
      <c r="I2" s="127">
        <v>12</v>
      </c>
      <c r="J2" s="127">
        <v>56</v>
      </c>
      <c r="K2" s="127" t="s">
        <v>313</v>
      </c>
      <c r="L2" s="127" t="s">
        <v>209</v>
      </c>
      <c r="M2" s="127" t="s">
        <v>76</v>
      </c>
      <c r="N2" s="127" t="s">
        <v>154</v>
      </c>
      <c r="O2" s="127" t="s">
        <v>155</v>
      </c>
      <c r="P2" s="127" t="s">
        <v>154</v>
      </c>
      <c r="Q2" s="528" t="s">
        <v>336</v>
      </c>
      <c r="R2" s="529" t="s">
        <v>154</v>
      </c>
      <c r="S2" s="525" t="s">
        <v>400</v>
      </c>
    </row>
    <row r="3" spans="1:20" x14ac:dyDescent="0.35">
      <c r="A3" s="524"/>
      <c r="B3" s="134"/>
      <c r="C3" s="134"/>
      <c r="D3" s="134"/>
      <c r="E3" s="292"/>
      <c r="F3" s="292"/>
      <c r="G3" s="292"/>
      <c r="H3" s="292"/>
      <c r="I3" s="292"/>
      <c r="J3" s="292"/>
      <c r="K3" s="292"/>
      <c r="L3" s="292"/>
      <c r="M3" s="134"/>
      <c r="N3" s="134"/>
      <c r="O3" s="134"/>
      <c r="P3" s="134"/>
      <c r="Q3" s="528"/>
      <c r="R3" s="529"/>
      <c r="S3" s="525"/>
    </row>
    <row r="4" spans="1:20" x14ac:dyDescent="0.35">
      <c r="A4" s="141" t="s">
        <v>284</v>
      </c>
      <c r="B4" s="135">
        <f>SUM(E4:L4)</f>
        <v>2</v>
      </c>
      <c r="C4" s="135">
        <f>'Matchs joués'!B3</f>
        <v>4</v>
      </c>
      <c r="D4" s="128">
        <f>B4/C4</f>
        <v>0.5</v>
      </c>
      <c r="E4" s="293">
        <f>COUNTIFS('Données brutes'!$Q:$Q,"ALG",'Données brutes'!$E:$E,"JUSTICIA")</f>
        <v>0</v>
      </c>
      <c r="F4" s="293">
        <f>COUNTIFS('Données brutes'!$Q:$Q,"ALD",'Données brutes'!$E:$E,"JUSTICIA")</f>
        <v>0</v>
      </c>
      <c r="G4" s="293">
        <f>COUNTIFS('Données brutes'!$Q:$Q,"PVT",'Données brutes'!$E:$E,"JUSTICIA")</f>
        <v>0</v>
      </c>
      <c r="H4" s="293">
        <f>COUNTIFS('Données brutes'!$Q:$Q,"GE",'Données brutes'!$E:$E,"JUSTICIA")</f>
        <v>2</v>
      </c>
      <c r="I4" s="294">
        <f>COUNTIFS('Données brutes'!$Q:$Q,"12",'Données brutes'!$E:$E,"JUSTICIA")</f>
        <v>0</v>
      </c>
      <c r="J4" s="294">
        <f>COUNTIFS('Données brutes'!$Q:$Q,"56",'Données brutes'!$E:$E,"JUSTICIA")</f>
        <v>0</v>
      </c>
      <c r="K4" s="294">
        <f>COUNTIFS('Données brutes'!$Q:$Q,"KF",'Données brutes'!$E:$E,"JUSTICIA")</f>
        <v>0</v>
      </c>
      <c r="L4" s="293">
        <f>COUNTIFS('Données brutes'!$Q:$Q,"Autres",'Données brutes'!$E:$E,"JUSTICIA")</f>
        <v>0</v>
      </c>
      <c r="M4" s="61">
        <f>COUNTIFS('Données brutes'!A:A,"Création +",'Données brutes'!E:E,"JUSTICIA")</f>
        <v>0</v>
      </c>
      <c r="N4" s="128">
        <f>M4/C4</f>
        <v>0</v>
      </c>
      <c r="O4" s="129">
        <f>COUNTIFS('Données brutes'!F:F,"7m / 7m 2min",'Données brutes'!E:E,"JUSTICIA")</f>
        <v>0</v>
      </c>
      <c r="P4" s="128">
        <f>O4/C4</f>
        <v>0</v>
      </c>
      <c r="Q4" s="142">
        <f>B4+M4+O4</f>
        <v>2</v>
      </c>
      <c r="R4" s="335">
        <f>Q4/C4</f>
        <v>0.5</v>
      </c>
      <c r="S4" s="337">
        <f>('Les pertes de balle'!F4)/Q4</f>
        <v>60</v>
      </c>
      <c r="T4" s="141" t="s">
        <v>284</v>
      </c>
    </row>
    <row r="5" spans="1:20" x14ac:dyDescent="0.35">
      <c r="A5" s="141" t="s">
        <v>436</v>
      </c>
      <c r="B5" s="135">
        <f t="shared" ref="B5:B20" si="0">SUM(E5:L5)</f>
        <v>2</v>
      </c>
      <c r="C5" s="135">
        <f>'Matchs joués'!B4</f>
        <v>4</v>
      </c>
      <c r="D5" s="128">
        <f t="shared" ref="D5:D20" si="1">B5/C5</f>
        <v>0.5</v>
      </c>
      <c r="E5" s="293">
        <f>COUNTIFS('Données brutes'!$Q:$Q,"ALG",'Données brutes'!$E:$E,"ALIX")</f>
        <v>0</v>
      </c>
      <c r="F5" s="293">
        <f>COUNTIFS('Données brutes'!$Q:$Q,"ALD",'Données brutes'!$E:$E,"ALIX")</f>
        <v>0</v>
      </c>
      <c r="G5" s="293">
        <f>COUNTIFS('Données brutes'!$Q:$Q,"PVT",'Données brutes'!$E:$E,"ALIX")</f>
        <v>0</v>
      </c>
      <c r="H5" s="293">
        <f>COUNTIFS('Données brutes'!$Q:$Q,"GE",'Données brutes'!$E:$E,"ALIX")</f>
        <v>2</v>
      </c>
      <c r="I5" s="294">
        <f>COUNTIFS('Données brutes'!$Q:$Q,"12",'Données brutes'!$E:$E,"ALIX")</f>
        <v>0</v>
      </c>
      <c r="J5" s="294">
        <f>COUNTIFS('Données brutes'!$Q:$Q,"56",'Données brutes'!$E:$E,"ALIX")</f>
        <v>0</v>
      </c>
      <c r="K5" s="294">
        <f>COUNTIFS('Données brutes'!$Q:$Q,"KF",'Données brutes'!$E:$E,"ALIX")</f>
        <v>0</v>
      </c>
      <c r="L5" s="293">
        <f>COUNTIFS('Données brutes'!$Q:$Q,"Autres",'Données brutes'!$E:$E,"ALIX")</f>
        <v>0</v>
      </c>
      <c r="M5" s="61">
        <f>COUNTIFS('Données brutes'!A:A,"Création +",'Données brutes'!E:E,"ALIX")</f>
        <v>0</v>
      </c>
      <c r="N5" s="128">
        <f t="shared" ref="N5:N20" si="2">M5/C5</f>
        <v>0</v>
      </c>
      <c r="O5" s="129">
        <f>COUNTIFS('Données brutes'!F:F,"7m / 7m 2min",'Données brutes'!E:E,"ALIX")</f>
        <v>0</v>
      </c>
      <c r="P5" s="128">
        <f t="shared" ref="P5:P20" si="3">O5/C5</f>
        <v>0</v>
      </c>
      <c r="Q5" s="142">
        <f t="shared" ref="Q5:Q20" si="4">B5+M5+O5</f>
        <v>2</v>
      </c>
      <c r="R5" s="335">
        <f t="shared" ref="R5:R20" si="5">Q5/C5</f>
        <v>0.5</v>
      </c>
      <c r="S5" s="337">
        <f>('Les pertes de balle'!F5)/Q5</f>
        <v>60</v>
      </c>
      <c r="T5" s="141" t="s">
        <v>436</v>
      </c>
    </row>
    <row r="6" spans="1:20" x14ac:dyDescent="0.35">
      <c r="A6" s="141" t="s">
        <v>432</v>
      </c>
      <c r="B6" s="135">
        <f t="shared" si="0"/>
        <v>2</v>
      </c>
      <c r="C6" s="135">
        <f>'Matchs joués'!B5</f>
        <v>4</v>
      </c>
      <c r="D6" s="128">
        <f t="shared" si="1"/>
        <v>0.5</v>
      </c>
      <c r="E6" s="293">
        <f>COUNTIFS('Données brutes'!$Q:$Q,"ALG",'Données brutes'!$E:$E,"NAEMI")</f>
        <v>0</v>
      </c>
      <c r="F6" s="293">
        <f>COUNTIFS('Données brutes'!$Q:$Q,"ALD",'Données brutes'!$E:$E,"NAEMI")</f>
        <v>0</v>
      </c>
      <c r="G6" s="293">
        <f>COUNTIFS('Données brutes'!$Q:$Q,"PVT",'Données brutes'!$E:$E,"NAEMI")</f>
        <v>0</v>
      </c>
      <c r="H6" s="293">
        <f>COUNTIFS('Données brutes'!$Q:$Q,"GE",'Données brutes'!$E:$E,"NAEMI")</f>
        <v>2</v>
      </c>
      <c r="I6" s="294">
        <f>COUNTIFS('Données brutes'!$Q:$Q,"12",'Données brutes'!$E:$E,"NAEMI")</f>
        <v>0</v>
      </c>
      <c r="J6" s="294">
        <f>COUNTIFS('Données brutes'!$Q:$Q,"56",'Données brutes'!$E:$E,"NAEMI")</f>
        <v>0</v>
      </c>
      <c r="K6" s="294">
        <f>COUNTIFS('Données brutes'!$Q:$Q,"KF",'Données brutes'!$E:$E,"NAEMI")</f>
        <v>0</v>
      </c>
      <c r="L6" s="293">
        <f>COUNTIFS('Données brutes'!$Q:$Q,"Autres",'Données brutes'!$E:$E,"NAEMI")</f>
        <v>0</v>
      </c>
      <c r="M6" s="61">
        <f>COUNTIFS('Données brutes'!A:A,"Création +",'Données brutes'!E:E,"NAEMI")</f>
        <v>0</v>
      </c>
      <c r="N6" s="128">
        <f t="shared" si="2"/>
        <v>0</v>
      </c>
      <c r="O6" s="129">
        <f>COUNTIFS('Données brutes'!F:F,"7m / 7m 2min",'Données brutes'!E:E,"NAEMI")</f>
        <v>2</v>
      </c>
      <c r="P6" s="128">
        <f t="shared" si="3"/>
        <v>0.5</v>
      </c>
      <c r="Q6" s="142">
        <f t="shared" si="4"/>
        <v>4</v>
      </c>
      <c r="R6" s="335">
        <f t="shared" si="5"/>
        <v>1</v>
      </c>
      <c r="S6" s="337">
        <f>('Les pertes de balle'!F6)/Q6</f>
        <v>27</v>
      </c>
      <c r="T6" s="141" t="s">
        <v>432</v>
      </c>
    </row>
    <row r="7" spans="1:20" x14ac:dyDescent="0.35">
      <c r="A7" s="16" t="s">
        <v>285</v>
      </c>
      <c r="B7" s="135">
        <f t="shared" si="0"/>
        <v>3</v>
      </c>
      <c r="C7" s="135">
        <f>'Matchs joués'!B6</f>
        <v>4</v>
      </c>
      <c r="D7" s="128">
        <f t="shared" si="1"/>
        <v>0.75</v>
      </c>
      <c r="E7" s="293">
        <f>COUNTIFS('Données brutes'!$Q:$Q,"ALG",'Données brutes'!$E:$E,"SYRIANE")</f>
        <v>0</v>
      </c>
      <c r="F7" s="293">
        <f>COUNTIFS('Données brutes'!$Q:$Q,"ALD",'Données brutes'!$E:$E,"SYRIANE")</f>
        <v>0</v>
      </c>
      <c r="G7" s="293">
        <f>COUNTIFS('Données brutes'!$Q:$Q,"PVT",'Données brutes'!$E:$E,"SYRIANE")</f>
        <v>0</v>
      </c>
      <c r="H7" s="293">
        <f>COUNTIFS('Données brutes'!$Q:$Q,"GE",'Données brutes'!$E:$E,"SYRIANE")</f>
        <v>3</v>
      </c>
      <c r="I7" s="294">
        <f>COUNTIFS('Données brutes'!$Q:$Q,"12",'Données brutes'!$E:$E,"SYRIANE")</f>
        <v>0</v>
      </c>
      <c r="J7" s="294">
        <f>COUNTIFS('Données brutes'!$Q:$Q,"56",'Données brutes'!$E:$E,"SYRIANE")</f>
        <v>0</v>
      </c>
      <c r="K7" s="294">
        <f>COUNTIFS('Données brutes'!$Q:$Q,"KF",'Données brutes'!$E:$E,"SYRIANE")</f>
        <v>0</v>
      </c>
      <c r="L7" s="293">
        <f>COUNTIFS('Données brutes'!$Q:$Q,"Autres",'Données brutes'!$E:$E,"SYRIANE")</f>
        <v>0</v>
      </c>
      <c r="M7" s="61">
        <f>COUNTIFS('Données brutes'!A:A,"Création +",'Données brutes'!E:E,"SYRIANE")</f>
        <v>0</v>
      </c>
      <c r="N7" s="128">
        <f t="shared" si="2"/>
        <v>0</v>
      </c>
      <c r="O7" s="129">
        <f>COUNTIFS('Données brutes'!F:F,"7m / 7m 2min",'Données brutes'!E:E,"SYRIANE")</f>
        <v>0</v>
      </c>
      <c r="P7" s="128">
        <f t="shared" si="3"/>
        <v>0</v>
      </c>
      <c r="Q7" s="142">
        <f t="shared" si="4"/>
        <v>3</v>
      </c>
      <c r="R7" s="335">
        <f t="shared" si="5"/>
        <v>0.75</v>
      </c>
      <c r="S7" s="337">
        <f>('Les pertes de balle'!F7)/Q7</f>
        <v>44</v>
      </c>
      <c r="T7" s="16" t="s">
        <v>285</v>
      </c>
    </row>
    <row r="8" spans="1:20" x14ac:dyDescent="0.35">
      <c r="A8" s="16" t="s">
        <v>286</v>
      </c>
      <c r="B8" s="135">
        <f t="shared" si="0"/>
        <v>9</v>
      </c>
      <c r="C8" s="135">
        <f>'Matchs joués'!B7</f>
        <v>3</v>
      </c>
      <c r="D8" s="128">
        <f t="shared" si="1"/>
        <v>3</v>
      </c>
      <c r="E8" s="293">
        <f>COUNTIFS('Données brutes'!$Q:$Q,"ALG",'Données brutes'!$E:$E,"HANA")</f>
        <v>0</v>
      </c>
      <c r="F8" s="293">
        <f>COUNTIFS('Données brutes'!$Q:$Q,"ALD",'Données brutes'!$E:$E,"HANA")</f>
        <v>0</v>
      </c>
      <c r="G8" s="293">
        <f>COUNTIFS('Données brutes'!$Q:$Q,"PVT",'Données brutes'!$E:$E,"HANA")</f>
        <v>6</v>
      </c>
      <c r="H8" s="293">
        <f>COUNTIFS('Données brutes'!$Q:$Q,"GE",'Données brutes'!$E:$E,"HANA")</f>
        <v>2</v>
      </c>
      <c r="I8" s="294">
        <f>COUNTIFS('Données brutes'!$Q:$Q,"12",'Données brutes'!$E:$E,"HANA")</f>
        <v>0</v>
      </c>
      <c r="J8" s="294">
        <f>COUNTIFS('Données brutes'!$Q:$Q,"56",'Données brutes'!$E:$E,"HANA")</f>
        <v>1</v>
      </c>
      <c r="K8" s="294">
        <f>COUNTIFS('Données brutes'!$Q:$Q,"KF",'Données brutes'!$E:$E,"HANA")</f>
        <v>0</v>
      </c>
      <c r="L8" s="293">
        <f>COUNTIFS('Données brutes'!$Q:$Q,"Autres",'Données brutes'!$E:$E,"HANA")</f>
        <v>0</v>
      </c>
      <c r="M8" s="61">
        <f>COUNTIFS('Données brutes'!A:A,"Création +",'Données brutes'!E:E,"HANA")</f>
        <v>3</v>
      </c>
      <c r="N8" s="128">
        <f t="shared" si="2"/>
        <v>1</v>
      </c>
      <c r="O8" s="129">
        <f>COUNTIFS('Données brutes'!F:F,"7m / 7m 2min",'Données brutes'!E:E,"HANA")</f>
        <v>3</v>
      </c>
      <c r="P8" s="128">
        <f t="shared" si="3"/>
        <v>1</v>
      </c>
      <c r="Q8" s="142">
        <f t="shared" si="4"/>
        <v>15</v>
      </c>
      <c r="R8" s="335">
        <f t="shared" si="5"/>
        <v>5</v>
      </c>
      <c r="S8" s="337">
        <f>('Les pertes de balle'!F8)/Q8</f>
        <v>6</v>
      </c>
      <c r="T8" s="16" t="s">
        <v>286</v>
      </c>
    </row>
    <row r="9" spans="1:20" x14ac:dyDescent="0.35">
      <c r="A9" s="16" t="s">
        <v>434</v>
      </c>
      <c r="B9" s="135">
        <f t="shared" si="0"/>
        <v>15</v>
      </c>
      <c r="C9" s="135">
        <f>'Matchs joués'!B8</f>
        <v>4</v>
      </c>
      <c r="D9" s="128">
        <f t="shared" si="1"/>
        <v>3.75</v>
      </c>
      <c r="E9" s="293">
        <f>COUNTIFS('Données brutes'!$Q:$Q,"ALG",'Données brutes'!$E:$E,"PHELLYS")</f>
        <v>5</v>
      </c>
      <c r="F9" s="293">
        <f>COUNTIFS('Données brutes'!$Q:$Q,"ALD",'Données brutes'!$E:$E,"PHELLYS")</f>
        <v>3</v>
      </c>
      <c r="G9" s="293">
        <f>COUNTIFS('Données brutes'!$Q:$Q,"PVT",'Données brutes'!$E:$E,"PHELLYS")</f>
        <v>3</v>
      </c>
      <c r="H9" s="293">
        <f>COUNTIFS('Données brutes'!$Q:$Q,"GE",'Données brutes'!$E:$E,"PHELLYS")</f>
        <v>0</v>
      </c>
      <c r="I9" s="294">
        <f>COUNTIFS('Données brutes'!$Q:$Q,"12",'Données brutes'!$E:$E,"PHELLYS")</f>
        <v>0</v>
      </c>
      <c r="J9" s="294">
        <f>COUNTIFS('Données brutes'!$Q:$Q,"56",'Données brutes'!$E:$E,"PHELLYS")</f>
        <v>3</v>
      </c>
      <c r="K9" s="294">
        <f>COUNTIFS('Données brutes'!$Q:$Q,"KF",'Données brutes'!$E:$E,"PHELLYS")</f>
        <v>0</v>
      </c>
      <c r="L9" s="293">
        <f>COUNTIFS('Données brutes'!$Q:$Q,"Autres",'Données brutes'!$E:$E,"PHELLYS")</f>
        <v>1</v>
      </c>
      <c r="M9" s="61">
        <f>COUNTIFS('Données brutes'!A:A,"Création +",'Données brutes'!E:E,"PHELLYS")</f>
        <v>2</v>
      </c>
      <c r="N9" s="128">
        <f t="shared" si="2"/>
        <v>0.5</v>
      </c>
      <c r="O9" s="129">
        <f>COUNTIFS('Données brutes'!F:F,"7m / 7m 2min",'Données brutes'!E:E,"PHELLYS")</f>
        <v>4</v>
      </c>
      <c r="P9" s="128">
        <f t="shared" si="3"/>
        <v>1</v>
      </c>
      <c r="Q9" s="142">
        <f t="shared" si="4"/>
        <v>21</v>
      </c>
      <c r="R9" s="335">
        <f t="shared" si="5"/>
        <v>5.25</v>
      </c>
      <c r="S9" s="337">
        <f>('Les pertes de balle'!F9)/Q9</f>
        <v>7.6190476190476186</v>
      </c>
      <c r="T9" s="16" t="s">
        <v>434</v>
      </c>
    </row>
    <row r="10" spans="1:20" x14ac:dyDescent="0.35">
      <c r="A10" s="16" t="s">
        <v>287</v>
      </c>
      <c r="B10" s="135">
        <f t="shared" si="0"/>
        <v>10</v>
      </c>
      <c r="C10" s="135">
        <f>'Matchs joués'!B9</f>
        <v>4</v>
      </c>
      <c r="D10" s="128">
        <f t="shared" si="1"/>
        <v>2.5</v>
      </c>
      <c r="E10" s="293">
        <f>COUNTIFS('Données brutes'!$Q:$Q,"ALG",'Données brutes'!$E:$E,"LEA")</f>
        <v>3</v>
      </c>
      <c r="F10" s="293">
        <f>COUNTIFS('Données brutes'!$Q:$Q,"ALD",'Données brutes'!$E:$E,"LEA")</f>
        <v>3</v>
      </c>
      <c r="G10" s="293">
        <f>COUNTIFS('Données brutes'!$Q:$Q,"PVT",'Données brutes'!$E:$E,"LEA")</f>
        <v>2</v>
      </c>
      <c r="H10" s="293">
        <f>COUNTIFS('Données brutes'!$Q:$Q,"GE",'Données brutes'!$E:$E,"LEA")</f>
        <v>0</v>
      </c>
      <c r="I10" s="294">
        <f>COUNTIFS('Données brutes'!$Q:$Q,"12",'Données brutes'!$E:$E,"LEA")</f>
        <v>1</v>
      </c>
      <c r="J10" s="294">
        <f>COUNTIFS('Données brutes'!$Q:$Q,"56",'Données brutes'!$E:$E,"LEA")</f>
        <v>1</v>
      </c>
      <c r="K10" s="294">
        <f>COUNTIFS('Données brutes'!$Q:$Q,"KF",'Données brutes'!$E:$E,"LEA")</f>
        <v>0</v>
      </c>
      <c r="L10" s="293">
        <f>COUNTIFS('Données brutes'!$Q:$Q,"Autres",'Données brutes'!$E:$E,"LEA")</f>
        <v>0</v>
      </c>
      <c r="M10" s="61">
        <f>COUNTIFS('Données brutes'!A:A,"Création +",'Données brutes'!E:E,"LEA")</f>
        <v>8</v>
      </c>
      <c r="N10" s="128">
        <f t="shared" si="2"/>
        <v>2</v>
      </c>
      <c r="O10" s="129">
        <f>COUNTIFS('Données brutes'!F:F,"7m / 7m 2min",'Données brutes'!E:E,"LEA")</f>
        <v>3</v>
      </c>
      <c r="P10" s="128">
        <f t="shared" si="3"/>
        <v>0.75</v>
      </c>
      <c r="Q10" s="142">
        <f t="shared" si="4"/>
        <v>21</v>
      </c>
      <c r="R10" s="335">
        <f t="shared" si="5"/>
        <v>5.25</v>
      </c>
      <c r="S10" s="337">
        <f>('Les pertes de balle'!F10)/Q10</f>
        <v>6.4285714285714288</v>
      </c>
      <c r="T10" s="16" t="s">
        <v>287</v>
      </c>
    </row>
    <row r="11" spans="1:20" x14ac:dyDescent="0.35">
      <c r="A11" s="16" t="s">
        <v>288</v>
      </c>
      <c r="B11" s="135">
        <f t="shared" si="0"/>
        <v>19</v>
      </c>
      <c r="C11" s="135">
        <f>'Matchs joués'!B10</f>
        <v>4</v>
      </c>
      <c r="D11" s="128">
        <f t="shared" si="1"/>
        <v>4.75</v>
      </c>
      <c r="E11" s="293">
        <f>COUNTIFS('Données brutes'!$Q:$Q,"ALG",'Données brutes'!$E:$E,"MAELLE")</f>
        <v>5</v>
      </c>
      <c r="F11" s="293">
        <f>COUNTIFS('Données brutes'!$Q:$Q,"ALD",'Données brutes'!$E:$E,"MAELLE")</f>
        <v>2</v>
      </c>
      <c r="G11" s="293">
        <f>COUNTIFS('Données brutes'!$Q:$Q,"PVT",'Données brutes'!$E:$E,"MAELLE")</f>
        <v>6</v>
      </c>
      <c r="H11" s="293">
        <f>COUNTIFS('Données brutes'!$Q:$Q,"GE",'Données brutes'!$E:$E,"MAELLE")</f>
        <v>4</v>
      </c>
      <c r="I11" s="294">
        <f>COUNTIFS('Données brutes'!$Q:$Q,"12",'Données brutes'!$E:$E,"MAELLE")</f>
        <v>0</v>
      </c>
      <c r="J11" s="294">
        <f>COUNTIFS('Données brutes'!$Q:$Q,"56",'Données brutes'!$E:$E,"MAELLE")</f>
        <v>2</v>
      </c>
      <c r="K11" s="294">
        <f>COUNTIFS('Données brutes'!$Q:$Q,"KF",'Données brutes'!$E:$E,"MAELLE")</f>
        <v>0</v>
      </c>
      <c r="L11" s="293">
        <f>COUNTIFS('Données brutes'!$Q:$Q,"Autres",'Données brutes'!$E:$E,"MAELLE")</f>
        <v>0</v>
      </c>
      <c r="M11" s="61">
        <f>COUNTIFS('Données brutes'!A:A,"Création +",'Données brutes'!E:E,"MAELLE")</f>
        <v>2</v>
      </c>
      <c r="N11" s="128">
        <f t="shared" si="2"/>
        <v>0.5</v>
      </c>
      <c r="O11" s="129">
        <f>COUNTIFS('Données brutes'!F:F,"7m / 7m 2min",'Données brutes'!E:E,"MAELLE")</f>
        <v>2</v>
      </c>
      <c r="P11" s="128">
        <f t="shared" si="3"/>
        <v>0.5</v>
      </c>
      <c r="Q11" s="142">
        <f t="shared" si="4"/>
        <v>23</v>
      </c>
      <c r="R11" s="335">
        <f t="shared" si="5"/>
        <v>5.75</v>
      </c>
      <c r="S11" s="337">
        <f>('Les pertes de balle'!F11)/Q11</f>
        <v>5</v>
      </c>
      <c r="T11" s="16" t="s">
        <v>288</v>
      </c>
    </row>
    <row r="12" spans="1:20" x14ac:dyDescent="0.35">
      <c r="A12" s="16" t="s">
        <v>289</v>
      </c>
      <c r="B12" s="135">
        <f t="shared" si="0"/>
        <v>14</v>
      </c>
      <c r="C12" s="135">
        <f>'Matchs joués'!B11</f>
        <v>4</v>
      </c>
      <c r="D12" s="128">
        <f t="shared" si="1"/>
        <v>3.5</v>
      </c>
      <c r="E12" s="293">
        <f>COUNTIFS('Données brutes'!$Q:$Q,"ALG",'Données brutes'!$E:$E,"KIM")</f>
        <v>0</v>
      </c>
      <c r="F12" s="293">
        <f>COUNTIFS('Données brutes'!$Q:$Q,"ALD",'Données brutes'!$E:$E,"KIM")</f>
        <v>9</v>
      </c>
      <c r="G12" s="293">
        <f>COUNTIFS('Données brutes'!$Q:$Q,"PVT",'Données brutes'!$E:$E,"KIM")</f>
        <v>1</v>
      </c>
      <c r="H12" s="293">
        <f>COUNTIFS('Données brutes'!$Q:$Q,"GE",'Données brutes'!$E:$E,"KIM")</f>
        <v>0</v>
      </c>
      <c r="I12" s="294">
        <f>COUNTIFS('Données brutes'!$Q:$Q,"12",'Données brutes'!$E:$E,"KIM")</f>
        <v>4</v>
      </c>
      <c r="J12" s="294">
        <f>COUNTIFS('Données brutes'!$Q:$Q,"56",'Données brutes'!$E:$E,"KIM")</f>
        <v>0</v>
      </c>
      <c r="K12" s="294">
        <f>COUNTIFS('Données brutes'!$Q:$Q,"KF",'Données brutes'!$E:$E,"KIM")</f>
        <v>0</v>
      </c>
      <c r="L12" s="293">
        <f>COUNTIFS('Données brutes'!$Q:$Q,"Autres",'Données brutes'!$E:$E,"KIM")</f>
        <v>0</v>
      </c>
      <c r="M12" s="61">
        <f>COUNTIFS('Données brutes'!A:A,"Création +",'Données brutes'!E:E,"KIM")</f>
        <v>1</v>
      </c>
      <c r="N12" s="128">
        <f t="shared" si="2"/>
        <v>0.25</v>
      </c>
      <c r="O12" s="129">
        <f>COUNTIFS('Données brutes'!F:F,"7m / 7m 2min",'Données brutes'!E:E,"KIM")</f>
        <v>3</v>
      </c>
      <c r="P12" s="128">
        <f t="shared" si="3"/>
        <v>0.75</v>
      </c>
      <c r="Q12" s="142">
        <f t="shared" si="4"/>
        <v>18</v>
      </c>
      <c r="R12" s="335">
        <f t="shared" si="5"/>
        <v>4.5</v>
      </c>
      <c r="S12" s="337">
        <f>('Les pertes de balle'!F12)/Q12</f>
        <v>6.666666666666667</v>
      </c>
      <c r="T12" s="16" t="s">
        <v>289</v>
      </c>
    </row>
    <row r="13" spans="1:20" x14ac:dyDescent="0.35">
      <c r="A13" s="16" t="s">
        <v>433</v>
      </c>
      <c r="B13" s="135">
        <f t="shared" si="0"/>
        <v>9</v>
      </c>
      <c r="C13" s="135">
        <f>'Matchs joués'!B12</f>
        <v>4</v>
      </c>
      <c r="D13" s="128">
        <f t="shared" si="1"/>
        <v>2.25</v>
      </c>
      <c r="E13" s="293">
        <f>COUNTIFS('Données brutes'!$Q:$Q,"ALG",'Données brutes'!$E:$E,"MATHILDE")</f>
        <v>1</v>
      </c>
      <c r="F13" s="293">
        <f>COUNTIFS('Données brutes'!$Q:$Q,"ALD",'Données brutes'!$E:$E,"MATHILDE")</f>
        <v>5</v>
      </c>
      <c r="G13" s="293">
        <f>COUNTIFS('Données brutes'!$Q:$Q,"PVT",'Données brutes'!$E:$E,"MATHILDE")</f>
        <v>0</v>
      </c>
      <c r="H13" s="293">
        <f>COUNTIFS('Données brutes'!$Q:$Q,"GE",'Données brutes'!$E:$E,"MATHILDE")</f>
        <v>2</v>
      </c>
      <c r="I13" s="294">
        <f>COUNTIFS('Données brutes'!$Q:$Q,"12",'Données brutes'!$E:$E,"MATHILDE")</f>
        <v>1</v>
      </c>
      <c r="J13" s="294">
        <f>COUNTIFS('Données brutes'!$Q:$Q,"56",'Données brutes'!$E:$E,"MATHILDE")</f>
        <v>0</v>
      </c>
      <c r="K13" s="294">
        <f>COUNTIFS('Données brutes'!$Q:$Q,"KF",'Données brutes'!$E:$E,"MATHILDE")</f>
        <v>0</v>
      </c>
      <c r="L13" s="293">
        <f>COUNTIFS('Données brutes'!$Q:$Q,"Autres",'Données brutes'!$E:$E,"MATHILDE")</f>
        <v>0</v>
      </c>
      <c r="M13" s="61">
        <f>COUNTIFS('Données brutes'!A:A,"Création +",'Données brutes'!E:E,"MATHILDE")</f>
        <v>5</v>
      </c>
      <c r="N13" s="128">
        <f t="shared" si="2"/>
        <v>1.25</v>
      </c>
      <c r="O13" s="129">
        <f>COUNTIFS('Données brutes'!F:F,"7m / 7m 2min",'Données brutes'!E:E,"MATHILDE")</f>
        <v>1</v>
      </c>
      <c r="P13" s="128">
        <f t="shared" si="3"/>
        <v>0.25</v>
      </c>
      <c r="Q13" s="142">
        <f t="shared" si="4"/>
        <v>15</v>
      </c>
      <c r="R13" s="335">
        <f t="shared" si="5"/>
        <v>3.75</v>
      </c>
      <c r="S13" s="337">
        <f>('Les pertes de balle'!F13)/Q13</f>
        <v>8</v>
      </c>
      <c r="T13" s="16" t="s">
        <v>433</v>
      </c>
    </row>
    <row r="14" spans="1:20" x14ac:dyDescent="0.35">
      <c r="A14" s="16" t="s">
        <v>290</v>
      </c>
      <c r="B14" s="135">
        <f t="shared" si="0"/>
        <v>0</v>
      </c>
      <c r="C14" s="135">
        <f>'Matchs joués'!B13</f>
        <v>4</v>
      </c>
      <c r="D14" s="128">
        <f t="shared" si="1"/>
        <v>0</v>
      </c>
      <c r="E14" s="293">
        <f>COUNTIFS('Données brutes'!$Q:$Q,"ALG",'Données brutes'!$E:$E,"JULIE")</f>
        <v>0</v>
      </c>
      <c r="F14" s="293">
        <f>COUNTIFS('Données brutes'!$Q:$Q,"ALD",'Données brutes'!$E:$E,"JULIE")</f>
        <v>0</v>
      </c>
      <c r="G14" s="293">
        <f>COUNTIFS('Données brutes'!$Q:$Q,"PVT",'Données brutes'!$E:$E,"JULIE")</f>
        <v>0</v>
      </c>
      <c r="H14" s="293">
        <f>COUNTIFS('Données brutes'!$Q:$Q,"GE",'Données brutes'!$E:$E,"JULIE")</f>
        <v>0</v>
      </c>
      <c r="I14" s="294">
        <f>COUNTIFS('Données brutes'!$Q:$Q,"12",'Données brutes'!$E:$E,"JULIE")</f>
        <v>0</v>
      </c>
      <c r="J14" s="294">
        <f>COUNTIFS('Données brutes'!$Q:$Q,"56",'Données brutes'!$E:$E,"JULIE")</f>
        <v>0</v>
      </c>
      <c r="K14" s="294">
        <f>COUNTIFS('Données brutes'!$Q:$Q,"KF",'Données brutes'!$E:$E,"JULIE")</f>
        <v>0</v>
      </c>
      <c r="L14" s="293">
        <f>COUNTIFS('Données brutes'!$Q:$Q,"Autres",'Données brutes'!$E:$E,"JULIE")</f>
        <v>0</v>
      </c>
      <c r="M14" s="61">
        <f>COUNTIFS('Données brutes'!A:A,"Création +",'Données brutes'!E:E,"JULIE")</f>
        <v>1</v>
      </c>
      <c r="N14" s="128">
        <f t="shared" si="2"/>
        <v>0.25</v>
      </c>
      <c r="O14" s="129">
        <f>COUNTIFS('Données brutes'!F:F,"7m / 7m 2min",'Données brutes'!E:E,"JULIE")</f>
        <v>1</v>
      </c>
      <c r="P14" s="128">
        <f t="shared" si="3"/>
        <v>0.25</v>
      </c>
      <c r="Q14" s="142">
        <f t="shared" si="4"/>
        <v>2</v>
      </c>
      <c r="R14" s="335">
        <f t="shared" si="5"/>
        <v>0.5</v>
      </c>
      <c r="S14" s="337">
        <f>('Les pertes de balle'!F14)/Q14</f>
        <v>60</v>
      </c>
      <c r="T14" s="16" t="s">
        <v>290</v>
      </c>
    </row>
    <row r="15" spans="1:20" x14ac:dyDescent="0.35">
      <c r="A15" s="16" t="s">
        <v>291</v>
      </c>
      <c r="B15" s="135">
        <f t="shared" si="0"/>
        <v>3</v>
      </c>
      <c r="C15" s="135">
        <f>'Matchs joués'!B14</f>
        <v>4</v>
      </c>
      <c r="D15" s="128">
        <f t="shared" si="1"/>
        <v>0.75</v>
      </c>
      <c r="E15" s="293">
        <f>COUNTIFS('Données brutes'!$Q:$Q,"ALG",'Données brutes'!$E:$E,"CAMILLE T")</f>
        <v>0</v>
      </c>
      <c r="F15" s="293">
        <f>COUNTIFS('Données brutes'!$Q:$Q,"ALD",'Données brutes'!$E:$E,"CAMILLE T")</f>
        <v>0</v>
      </c>
      <c r="G15" s="293">
        <f>COUNTIFS('Données brutes'!$Q:$Q,"PVT",'Données brutes'!$E:$E,"CAMILLE T")</f>
        <v>1</v>
      </c>
      <c r="H15" s="293">
        <f>COUNTIFS('Données brutes'!$Q:$Q,"GE",'Données brutes'!$E:$E,"CAMILLE T")</f>
        <v>1</v>
      </c>
      <c r="I15" s="294">
        <f>COUNTIFS('Données brutes'!$Q:$Q,"12",'Données brutes'!$E:$E,"CAMILLE T")</f>
        <v>0</v>
      </c>
      <c r="J15" s="294">
        <f>COUNTIFS('Données brutes'!$Q:$Q,"56",'Données brutes'!$E:$E,"CAMILLE T")</f>
        <v>1</v>
      </c>
      <c r="K15" s="294">
        <f>COUNTIFS('Données brutes'!$Q:$Q,"KF",'Données brutes'!$E:$E,"CAMILLE T")</f>
        <v>0</v>
      </c>
      <c r="L15" s="293">
        <f>COUNTIFS('Données brutes'!$Q:$Q,"Autres",'Données brutes'!$E:$E,"CAMILLE T")</f>
        <v>0</v>
      </c>
      <c r="M15" s="61">
        <f>COUNTIFS('Données brutes'!A:A,"Création +",'Données brutes'!E:E,"CAMILLE T")</f>
        <v>0</v>
      </c>
      <c r="N15" s="128">
        <f t="shared" si="2"/>
        <v>0</v>
      </c>
      <c r="O15" s="129">
        <f>COUNTIFS('Données brutes'!F:F,"7m / 7m 2min",'Données brutes'!E:E,"CAMILLE T")</f>
        <v>0</v>
      </c>
      <c r="P15" s="128">
        <f t="shared" si="3"/>
        <v>0</v>
      </c>
      <c r="Q15" s="142">
        <f t="shared" si="4"/>
        <v>3</v>
      </c>
      <c r="R15" s="335">
        <f t="shared" si="5"/>
        <v>0.75</v>
      </c>
      <c r="S15" s="337">
        <f>('Les pertes de balle'!F15)/Q15</f>
        <v>40</v>
      </c>
      <c r="T15" s="16" t="s">
        <v>291</v>
      </c>
    </row>
    <row r="16" spans="1:20" x14ac:dyDescent="0.35">
      <c r="A16" s="16" t="s">
        <v>292</v>
      </c>
      <c r="B16" s="135">
        <f t="shared" si="0"/>
        <v>0</v>
      </c>
      <c r="C16" s="135">
        <f>'Matchs joués'!B15</f>
        <v>3</v>
      </c>
      <c r="D16" s="128">
        <f t="shared" si="1"/>
        <v>0</v>
      </c>
      <c r="E16" s="293">
        <f>COUNTIFS('Données brutes'!$Q:$Q,"ALG",'Données brutes'!$E:$E,"MAELYS")</f>
        <v>0</v>
      </c>
      <c r="F16" s="293">
        <f>COUNTIFS('Données brutes'!$Q:$Q,"ALD",'Données brutes'!$E:$E,"MAELYS")</f>
        <v>0</v>
      </c>
      <c r="G16" s="293">
        <f>COUNTIFS('Données brutes'!$Q:$Q,"PVT",'Données brutes'!$E:$E,"MAELYS")</f>
        <v>0</v>
      </c>
      <c r="H16" s="293">
        <f>COUNTIFS('Données brutes'!$Q:$Q,"GE",'Données brutes'!$E:$E,"MAELYS")</f>
        <v>0</v>
      </c>
      <c r="I16" s="294">
        <f>COUNTIFS('Données brutes'!$Q:$Q,"12",'Données brutes'!$E:$E,"MAELYS")</f>
        <v>0</v>
      </c>
      <c r="J16" s="294">
        <f>COUNTIFS('Données brutes'!$Q:$Q,"56",'Données brutes'!$E:$E,"MAELYS")</f>
        <v>0</v>
      </c>
      <c r="K16" s="294">
        <f>COUNTIFS('Données brutes'!$Q:$Q,"KF",'Données brutes'!$E:$E,"MAELYS")</f>
        <v>0</v>
      </c>
      <c r="L16" s="293">
        <f>COUNTIFS('Données brutes'!$Q:$Q,"Autres",'Données brutes'!$E:$E,"MAELYS")</f>
        <v>0</v>
      </c>
      <c r="M16" s="61">
        <f>COUNTIFS('Données brutes'!A:A,"Création +",'Données brutes'!E:E,"MAELYS")</f>
        <v>2</v>
      </c>
      <c r="N16" s="128">
        <f t="shared" si="2"/>
        <v>0.66666666666666663</v>
      </c>
      <c r="O16" s="129">
        <f>COUNTIFS('Données brutes'!F:F,"7m / 7m 2min",'Données brutes'!E:E,"MAELYS")</f>
        <v>1</v>
      </c>
      <c r="P16" s="128">
        <f t="shared" si="3"/>
        <v>0.33333333333333331</v>
      </c>
      <c r="Q16" s="142">
        <f t="shared" si="4"/>
        <v>3</v>
      </c>
      <c r="R16" s="335">
        <f t="shared" si="5"/>
        <v>1</v>
      </c>
      <c r="S16" s="337">
        <f>('Les pertes de balle'!F16)/Q16</f>
        <v>20</v>
      </c>
      <c r="T16" s="16" t="s">
        <v>292</v>
      </c>
    </row>
    <row r="17" spans="1:20" x14ac:dyDescent="0.35">
      <c r="A17" s="16" t="s">
        <v>293</v>
      </c>
      <c r="B17" s="135">
        <f t="shared" si="0"/>
        <v>0</v>
      </c>
      <c r="C17" s="135">
        <f>'Matchs joués'!B16</f>
        <v>0</v>
      </c>
      <c r="D17" s="128" t="e">
        <f t="shared" si="1"/>
        <v>#DIV/0!</v>
      </c>
      <c r="E17" s="293">
        <f>COUNTIFS('Données brutes'!$Q:$Q,"ALG",'Données brutes'!$E:$E,"INES")</f>
        <v>0</v>
      </c>
      <c r="F17" s="293">
        <f>COUNTIFS('Données brutes'!$Q:$Q,"ALD",'Données brutes'!$E:$E,"INES")</f>
        <v>0</v>
      </c>
      <c r="G17" s="293">
        <f>COUNTIFS('Données brutes'!$Q:$Q,"PVT",'Données brutes'!$E:$E,"INES")</f>
        <v>0</v>
      </c>
      <c r="H17" s="293">
        <f>COUNTIFS('Données brutes'!$Q:$Q,"GE",'Données brutes'!$E:$E,"INES")</f>
        <v>0</v>
      </c>
      <c r="I17" s="294">
        <f>COUNTIFS('Données brutes'!$Q:$Q,"12",'Données brutes'!$E:$E,"INES")</f>
        <v>0</v>
      </c>
      <c r="J17" s="294">
        <f>COUNTIFS('Données brutes'!$Q:$Q,"56",'Données brutes'!$E:$E,"INES")</f>
        <v>0</v>
      </c>
      <c r="K17" s="294">
        <f>COUNTIFS('Données brutes'!$Q:$Q,"KF",'Données brutes'!$E:$E,"INES")</f>
        <v>0</v>
      </c>
      <c r="L17" s="293">
        <f>COUNTIFS('Données brutes'!$Q:$Q,"Autres",'Données brutes'!$E:$E,"INES")</f>
        <v>0</v>
      </c>
      <c r="M17" s="61">
        <f>COUNTIFS('Données brutes'!A:A,"Création +",'Données brutes'!E:E,"INES")</f>
        <v>0</v>
      </c>
      <c r="N17" s="128" t="e">
        <f t="shared" si="2"/>
        <v>#DIV/0!</v>
      </c>
      <c r="O17" s="129">
        <f>COUNTIFS('Données brutes'!F:F,"7m / 7m 2min",'Données brutes'!E:E,"INES")</f>
        <v>0</v>
      </c>
      <c r="P17" s="128" t="e">
        <f t="shared" si="3"/>
        <v>#DIV/0!</v>
      </c>
      <c r="Q17" s="142">
        <f t="shared" si="4"/>
        <v>0</v>
      </c>
      <c r="R17" s="335" t="e">
        <f t="shared" si="5"/>
        <v>#DIV/0!</v>
      </c>
      <c r="S17" s="337" t="e">
        <f>('Les pertes de balle'!F17)/Q17</f>
        <v>#DIV/0!</v>
      </c>
      <c r="T17" s="16" t="s">
        <v>293</v>
      </c>
    </row>
    <row r="18" spans="1:20" x14ac:dyDescent="0.35">
      <c r="A18" s="16" t="s">
        <v>294</v>
      </c>
      <c r="B18" s="135">
        <f t="shared" si="0"/>
        <v>0</v>
      </c>
      <c r="C18" s="135">
        <f>'Matchs joués'!B17</f>
        <v>1</v>
      </c>
      <c r="D18" s="128">
        <f t="shared" si="1"/>
        <v>0</v>
      </c>
      <c r="E18" s="293">
        <f>COUNTIFS('Données brutes'!$Q:$Q,"ALG",'Données brutes'!$E:$E,"INGRID")</f>
        <v>0</v>
      </c>
      <c r="F18" s="293">
        <f>COUNTIFS('Données brutes'!$Q:$Q,"ALD",'Données brutes'!$E:$E,"INGRID")</f>
        <v>0</v>
      </c>
      <c r="G18" s="293">
        <f>COUNTIFS('Données brutes'!$Q:$Q,"PVT",'Données brutes'!$E:$E,"INGRID")</f>
        <v>0</v>
      </c>
      <c r="H18" s="293">
        <f>COUNTIFS('Données brutes'!$Q:$Q,"GE",'Données brutes'!$E:$E,"INGRID")</f>
        <v>0</v>
      </c>
      <c r="I18" s="294">
        <f>COUNTIFS('Données brutes'!$Q:$Q,"12",'Données brutes'!$E:$E,"INGRID")</f>
        <v>0</v>
      </c>
      <c r="J18" s="294">
        <f>COUNTIFS('Données brutes'!$Q:$Q,"56",'Données brutes'!$E:$E,"INGRID")</f>
        <v>0</v>
      </c>
      <c r="K18" s="294">
        <f>COUNTIFS('Données brutes'!$Q:$Q,"KF",'Données brutes'!$E:$E,"INGRID")</f>
        <v>0</v>
      </c>
      <c r="L18" s="293">
        <f>COUNTIFS('Données brutes'!$Q:$Q,"Autres",'Données brutes'!$E:$E,"INGRID")</f>
        <v>0</v>
      </c>
      <c r="M18" s="61">
        <f>COUNTIFS('Données brutes'!A:A,"Création +",'Données brutes'!E:E,"INGRID")</f>
        <v>0</v>
      </c>
      <c r="N18" s="128">
        <f t="shared" si="2"/>
        <v>0</v>
      </c>
      <c r="O18" s="129">
        <f>COUNTIFS('Données brutes'!F:F,"7m / 7m 2min",'Données brutes'!E:E,"INGRID")</f>
        <v>0</v>
      </c>
      <c r="P18" s="128">
        <f t="shared" si="3"/>
        <v>0</v>
      </c>
      <c r="Q18" s="142">
        <f t="shared" si="4"/>
        <v>0</v>
      </c>
      <c r="R18" s="335">
        <f t="shared" si="5"/>
        <v>0</v>
      </c>
      <c r="S18" s="337" t="e">
        <f>'Les pertes de balle'!G18/Q18</f>
        <v>#DIV/0!</v>
      </c>
      <c r="T18" s="16" t="s">
        <v>294</v>
      </c>
    </row>
    <row r="19" spans="1:20" x14ac:dyDescent="0.35">
      <c r="A19" s="16" t="s">
        <v>435</v>
      </c>
      <c r="B19" s="135">
        <f t="shared" si="0"/>
        <v>1</v>
      </c>
      <c r="C19" s="135">
        <f>'Matchs joués'!B18</f>
        <v>4</v>
      </c>
      <c r="D19" s="128">
        <f t="shared" si="1"/>
        <v>0.25</v>
      </c>
      <c r="E19" s="293">
        <f>COUNTIFS('Données brutes'!$Q:$Q,"ALG",'Données brutes'!$E:$E,"LAURA LYNE")</f>
        <v>0</v>
      </c>
      <c r="F19" s="293">
        <f>COUNTIFS('Données brutes'!$Q:$Q,"ALD",'Données brutes'!$E:$E,"LAURA LYNE")</f>
        <v>0</v>
      </c>
      <c r="G19" s="293">
        <f>COUNTIFS('Données brutes'!$Q:$Q,"PVT",'Données brutes'!$E:$E,"LAURA LYNE")</f>
        <v>0</v>
      </c>
      <c r="H19" s="293">
        <f>COUNTIFS('Données brutes'!$Q:$Q,"GE",'Données brutes'!$E:$E,"LAURA LYNE")</f>
        <v>0</v>
      </c>
      <c r="I19" s="294">
        <f>COUNTIFS('Données brutes'!$Q:$Q,"12",'Données brutes'!$E:$E,"LAURA LYNE")</f>
        <v>0</v>
      </c>
      <c r="J19" s="294">
        <f>COUNTIFS('Données brutes'!$Q:$Q,"56",'Données brutes'!$E:$E,"LAURA LYNE")</f>
        <v>0</v>
      </c>
      <c r="K19" s="294">
        <f>COUNTIFS('Données brutes'!$Q:$Q,"KF",'Données brutes'!$E:$E,"LAURA LYNE")</f>
        <v>0</v>
      </c>
      <c r="L19" s="293">
        <f>COUNTIFS('Données brutes'!$Q:$Q,"Autres",'Données brutes'!$E:$E,"LAURA LYNE")</f>
        <v>1</v>
      </c>
      <c r="M19" s="61">
        <f>COUNTIFS('Données brutes'!A:A,"Création +",'Données brutes'!E:E,"LAURA LYNE")</f>
        <v>6</v>
      </c>
      <c r="N19" s="128">
        <f t="shared" si="2"/>
        <v>1.5</v>
      </c>
      <c r="O19" s="129">
        <f>COUNTIFS('Données brutes'!F:F,"7m / 7m 2min",'Données brutes'!E:E,"LAURA LYNE")</f>
        <v>0</v>
      </c>
      <c r="P19" s="128">
        <f t="shared" si="3"/>
        <v>0</v>
      </c>
      <c r="Q19" s="142">
        <f t="shared" si="4"/>
        <v>7</v>
      </c>
      <c r="R19" s="335">
        <f t="shared" si="5"/>
        <v>1.75</v>
      </c>
      <c r="S19" s="337" t="e">
        <f>'Les pertes de balle'!G19/Q19</f>
        <v>#DIV/0!</v>
      </c>
      <c r="T19" s="16" t="s">
        <v>435</v>
      </c>
    </row>
    <row r="20" spans="1:20" ht="15" thickBot="1" x14ac:dyDescent="0.4">
      <c r="A20" s="16" t="s">
        <v>437</v>
      </c>
      <c r="B20" s="144">
        <f t="shared" si="0"/>
        <v>0</v>
      </c>
      <c r="C20" s="135">
        <f>'Matchs joués'!B19</f>
        <v>0</v>
      </c>
      <c r="D20" s="128" t="e">
        <f t="shared" si="1"/>
        <v>#DIV/0!</v>
      </c>
      <c r="E20" s="295">
        <f>COUNTIFS('Données brutes'!$Q:$Q,"ALG",'Données brutes'!$E:$E,"HABI")</f>
        <v>0</v>
      </c>
      <c r="F20" s="295">
        <f>COUNTIFS('Données brutes'!$Q:$Q,"ALD",'Données brutes'!$E:$E,"HABI")</f>
        <v>0</v>
      </c>
      <c r="G20" s="295">
        <f>COUNTIFS('Données brutes'!$Q:$Q,"PVT",'Données brutes'!$E:$E,"HABI")</f>
        <v>0</v>
      </c>
      <c r="H20" s="295">
        <f>COUNTIFS('Données brutes'!$Q:$Q,"GE",'Données brutes'!$E:$E,"HABI")</f>
        <v>0</v>
      </c>
      <c r="I20" s="296">
        <f>COUNTIFS('Données brutes'!$Q:$Q,"12",'Données brutes'!$E:$E,"HABI")</f>
        <v>0</v>
      </c>
      <c r="J20" s="296">
        <f>COUNTIFS('Données brutes'!$Q:$Q,"56",'Données brutes'!$E:$E,"HABI")</f>
        <v>0</v>
      </c>
      <c r="K20" s="296">
        <f>COUNTIFS('Données brutes'!$Q:$Q,"KF",'Données brutes'!$E:$E,"HABI")</f>
        <v>0</v>
      </c>
      <c r="L20" s="295">
        <f>COUNTIFS('Données brutes'!$Q:$Q,"Autres",'Données brutes'!$E:$E,"HABI")</f>
        <v>0</v>
      </c>
      <c r="M20" s="146">
        <f>COUNTIFS('Données brutes'!A:A,"Création +",'Données brutes'!E:E,"HABI")</f>
        <v>0</v>
      </c>
      <c r="N20" s="128" t="e">
        <f t="shared" si="2"/>
        <v>#DIV/0!</v>
      </c>
      <c r="O20" s="145">
        <f>COUNTIFS('Données brutes'!F:F,"7m / 7m 2min",'Données brutes'!E:E,"HABI")</f>
        <v>0</v>
      </c>
      <c r="P20" s="128" t="e">
        <f t="shared" si="3"/>
        <v>#DIV/0!</v>
      </c>
      <c r="Q20" s="147">
        <f t="shared" si="4"/>
        <v>0</v>
      </c>
      <c r="R20" s="335" t="e">
        <f t="shared" si="5"/>
        <v>#DIV/0!</v>
      </c>
      <c r="S20" s="337" t="e">
        <f>'Les pertes de balle'!G20/Q20</f>
        <v>#DIV/0!</v>
      </c>
      <c r="T20" s="16" t="s">
        <v>437</v>
      </c>
    </row>
    <row r="21" spans="1:20" ht="15" thickBot="1" x14ac:dyDescent="0.4">
      <c r="A21" s="143" t="s">
        <v>70</v>
      </c>
      <c r="B21" s="148">
        <f>SUM(B4:B20)</f>
        <v>89</v>
      </c>
      <c r="C21" s="167"/>
      <c r="D21" s="149" t="e">
        <f t="shared" ref="D21:R21" si="6">SUM(D4:D20)</f>
        <v>#DIV/0!</v>
      </c>
      <c r="E21" s="297">
        <f t="shared" si="6"/>
        <v>14</v>
      </c>
      <c r="F21" s="297">
        <f t="shared" si="6"/>
        <v>22</v>
      </c>
      <c r="G21" s="297">
        <f t="shared" si="6"/>
        <v>19</v>
      </c>
      <c r="H21" s="297">
        <f t="shared" si="6"/>
        <v>18</v>
      </c>
      <c r="I21" s="297">
        <f t="shared" si="6"/>
        <v>6</v>
      </c>
      <c r="J21" s="297">
        <f t="shared" si="6"/>
        <v>8</v>
      </c>
      <c r="K21" s="297">
        <f t="shared" si="6"/>
        <v>0</v>
      </c>
      <c r="L21" s="297">
        <f t="shared" si="6"/>
        <v>2</v>
      </c>
      <c r="M21" s="149">
        <f t="shared" si="6"/>
        <v>30</v>
      </c>
      <c r="N21" s="149" t="e">
        <f t="shared" si="6"/>
        <v>#DIV/0!</v>
      </c>
      <c r="O21" s="149">
        <f t="shared" si="6"/>
        <v>20</v>
      </c>
      <c r="P21" s="149" t="e">
        <f t="shared" si="6"/>
        <v>#DIV/0!</v>
      </c>
      <c r="Q21" s="149">
        <f t="shared" si="6"/>
        <v>139</v>
      </c>
      <c r="R21" s="336" t="e">
        <f t="shared" si="6"/>
        <v>#DIV/0!</v>
      </c>
      <c r="S21" s="12"/>
    </row>
    <row r="22" spans="1:20" ht="22.5" customHeight="1" x14ac:dyDescent="0.35">
      <c r="E22" s="168" t="s">
        <v>15</v>
      </c>
      <c r="F22" s="131" t="s">
        <v>17</v>
      </c>
      <c r="G22" s="131" t="s">
        <v>151</v>
      </c>
      <c r="H22" s="131" t="s">
        <v>218</v>
      </c>
      <c r="I22" s="131">
        <v>12</v>
      </c>
      <c r="J22" s="131">
        <v>56</v>
      </c>
      <c r="K22" s="131" t="s">
        <v>313</v>
      </c>
      <c r="L22" s="132" t="s">
        <v>209</v>
      </c>
    </row>
    <row r="23" spans="1:20" ht="15" thickBot="1" x14ac:dyDescent="0.4">
      <c r="E23" s="298">
        <f>E21/$B$21</f>
        <v>0.15730337078651685</v>
      </c>
      <c r="F23" s="299">
        <f t="shared" ref="F23:L23" si="7">F21/$B$21</f>
        <v>0.24719101123595505</v>
      </c>
      <c r="G23" s="299">
        <f t="shared" si="7"/>
        <v>0.21348314606741572</v>
      </c>
      <c r="H23" s="299">
        <f t="shared" si="7"/>
        <v>0.20224719101123595</v>
      </c>
      <c r="I23" s="299">
        <f t="shared" si="7"/>
        <v>6.741573033707865E-2</v>
      </c>
      <c r="J23" s="299">
        <f t="shared" si="7"/>
        <v>8.98876404494382E-2</v>
      </c>
      <c r="K23" s="299">
        <f t="shared" si="7"/>
        <v>0</v>
      </c>
      <c r="L23" s="300">
        <f t="shared" si="7"/>
        <v>2.247191011235955E-2</v>
      </c>
    </row>
  </sheetData>
  <mergeCells count="6">
    <mergeCell ref="A1:A3"/>
    <mergeCell ref="S2:S3"/>
    <mergeCell ref="E1:L1"/>
    <mergeCell ref="M1:N1"/>
    <mergeCell ref="Q2:Q3"/>
    <mergeCell ref="R2:R3"/>
  </mergeCells>
  <conditionalFormatting sqref="B4:C20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:D20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4:M20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4:N2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4:P2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:R2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190C6-0B58-48B7-952E-8228A8B6252F}">
  <sheetPr codeName="Feuil30"/>
  <dimension ref="P3:S58"/>
  <sheetViews>
    <sheetView workbookViewId="0">
      <selection activeCell="M20" sqref="M20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joueuse'!K325</f>
        <v>0</v>
      </c>
    </row>
    <row r="5" spans="16:18" x14ac:dyDescent="0.35">
      <c r="P5" s="399"/>
      <c r="Q5" s="376" t="s">
        <v>282</v>
      </c>
      <c r="R5" s="374">
        <f>'[1]Duel tireur GB joueuse'!K326</f>
        <v>0</v>
      </c>
    </row>
    <row r="6" spans="16:18" x14ac:dyDescent="0.35">
      <c r="P6" s="399"/>
      <c r="Q6" s="376" t="s">
        <v>297</v>
      </c>
      <c r="R6" s="374">
        <f>'[1]Duel tireur GB joueuse'!K327</f>
        <v>0</v>
      </c>
    </row>
    <row r="7" spans="16:18" x14ac:dyDescent="0.35">
      <c r="P7" s="399"/>
      <c r="Q7" s="376" t="s">
        <v>296</v>
      </c>
      <c r="R7" s="374">
        <f>'[1]Duel tireur GB joueuse'!K328</f>
        <v>1</v>
      </c>
    </row>
    <row r="8" spans="16:18" x14ac:dyDescent="0.35">
      <c r="P8" s="399"/>
      <c r="Q8" s="376" t="s">
        <v>298</v>
      </c>
      <c r="R8" s="374">
        <f>'[1]Duel tireur GB joueuse'!K329</f>
        <v>0</v>
      </c>
    </row>
    <row r="9" spans="16:18" x14ac:dyDescent="0.35">
      <c r="P9" s="399"/>
      <c r="Q9" s="376" t="s">
        <v>283</v>
      </c>
      <c r="R9" s="374">
        <f>'[1]Duel tireur GB joueuse'!K330</f>
        <v>0</v>
      </c>
    </row>
    <row r="10" spans="16:18" x14ac:dyDescent="0.35">
      <c r="P10" s="403"/>
      <c r="Q10" s="377" t="s">
        <v>17</v>
      </c>
      <c r="R10" s="374">
        <f>'[1]Duel tireur GB joueuse'!K331</f>
        <v>0</v>
      </c>
    </row>
    <row r="11" spans="16:18" x14ac:dyDescent="0.35">
      <c r="P11" s="404" t="s">
        <v>458</v>
      </c>
      <c r="Q11" s="405"/>
      <c r="R11" s="374">
        <f>('[1]Duel tireur GB joueuse'!K332+'[1]Duel tireur GB joueuse'!K335)</f>
        <v>0</v>
      </c>
    </row>
    <row r="12" spans="16:18" x14ac:dyDescent="0.35">
      <c r="P12" s="404" t="s">
        <v>459</v>
      </c>
      <c r="Q12" s="405"/>
      <c r="R12" s="374">
        <f>('[1]Duel tireur GB joueuse'!K333+'[1]Duel tireur GB joueuse'!K336)</f>
        <v>0</v>
      </c>
    </row>
    <row r="13" spans="16:18" x14ac:dyDescent="0.35">
      <c r="P13" s="404" t="s">
        <v>460</v>
      </c>
      <c r="Q13" s="405"/>
      <c r="R13" s="374">
        <f>('[1]Duel tireur GB joueuse'!K334+'[1]Duel tireur GB joueuse'!K337)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joueuse'!K338</f>
        <v>0</v>
      </c>
    </row>
    <row r="15" spans="16:18" x14ac:dyDescent="0.35">
      <c r="P15" s="399"/>
      <c r="Q15" s="376" t="s">
        <v>308</v>
      </c>
      <c r="R15" s="374">
        <f>'[1]Duel tireur GB joueuse'!K339</f>
        <v>0</v>
      </c>
    </row>
    <row r="16" spans="16:18" ht="15" thickBot="1" x14ac:dyDescent="0.4">
      <c r="P16" s="400"/>
      <c r="Q16" s="376" t="s">
        <v>309</v>
      </c>
      <c r="R16" s="374">
        <f>'[1]Duel tireur GB joueuse'!K340</f>
        <v>0</v>
      </c>
    </row>
    <row r="17" spans="16:18" x14ac:dyDescent="0.35">
      <c r="P17" s="380"/>
      <c r="Q17" s="376" t="s">
        <v>22</v>
      </c>
      <c r="R17" s="374">
        <f>'[1]Duel tireur GB joueuse'!K341</f>
        <v>0</v>
      </c>
    </row>
    <row r="18" spans="16:18" ht="15" thickBot="1" x14ac:dyDescent="0.4">
      <c r="P18" s="381"/>
      <c r="Q18" s="382" t="s">
        <v>12</v>
      </c>
      <c r="R18" s="374">
        <f>'[1]Duel tireur GB joueuse'!K342</f>
        <v>0</v>
      </c>
    </row>
    <row r="19" spans="16:18" x14ac:dyDescent="0.35">
      <c r="Q19" s="383" t="s">
        <v>461</v>
      </c>
      <c r="R19" s="384">
        <f>SUM(R4:R18)</f>
        <v>1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joueuse'!K325/'[1]Duel tireur GB joueuse'!$K$343</f>
        <v>0</v>
      </c>
    </row>
    <row r="24" spans="16:18" x14ac:dyDescent="0.35">
      <c r="P24" s="399"/>
      <c r="Q24" s="376" t="s">
        <v>282</v>
      </c>
      <c r="R24" s="385">
        <f>'[1]Duel tireur GB joueuse'!K326/'[1]Duel tireur GB joueuse'!$K$343</f>
        <v>0</v>
      </c>
    </row>
    <row r="25" spans="16:18" x14ac:dyDescent="0.35">
      <c r="P25" s="399"/>
      <c r="Q25" s="376" t="s">
        <v>297</v>
      </c>
      <c r="R25" s="385">
        <f>'[1]Duel tireur GB joueuse'!K327/'[1]Duel tireur GB joueuse'!$K$343</f>
        <v>0</v>
      </c>
    </row>
    <row r="26" spans="16:18" x14ac:dyDescent="0.35">
      <c r="P26" s="399"/>
      <c r="Q26" s="376" t="s">
        <v>296</v>
      </c>
      <c r="R26" s="385">
        <f>'[1]Duel tireur GB joueuse'!K328/'[1]Duel tireur GB joueuse'!$K$343</f>
        <v>1</v>
      </c>
    </row>
    <row r="27" spans="16:18" x14ac:dyDescent="0.35">
      <c r="P27" s="399"/>
      <c r="Q27" s="376" t="s">
        <v>298</v>
      </c>
      <c r="R27" s="385">
        <f>'[1]Duel tireur GB joueuse'!K329/'[1]Duel tireur GB joueuse'!$K$343</f>
        <v>0</v>
      </c>
    </row>
    <row r="28" spans="16:18" x14ac:dyDescent="0.35">
      <c r="P28" s="399"/>
      <c r="Q28" s="376" t="s">
        <v>283</v>
      </c>
      <c r="R28" s="385">
        <f>'[1]Duel tireur GB joueuse'!K330/'[1]Duel tireur GB joueuse'!$K$343</f>
        <v>0</v>
      </c>
    </row>
    <row r="29" spans="16:18" x14ac:dyDescent="0.35">
      <c r="P29" s="403"/>
      <c r="Q29" s="377" t="s">
        <v>17</v>
      </c>
      <c r="R29" s="385">
        <f>'[1]Duel tireur GB joueuse'!K331/'[1]Duel tireur GB joueuse'!$K$343</f>
        <v>0</v>
      </c>
    </row>
    <row r="30" spans="16:18" x14ac:dyDescent="0.35">
      <c r="P30" s="404" t="s">
        <v>458</v>
      </c>
      <c r="Q30" s="405"/>
      <c r="R30" s="385">
        <f>('[1]Duel tireur GB joueuse'!K332+'[1]Duel tireur GB joueuse'!K335)/'[1]Duel tireur GB joueuse'!$K$343</f>
        <v>0</v>
      </c>
    </row>
    <row r="31" spans="16:18" x14ac:dyDescent="0.35">
      <c r="P31" s="404" t="s">
        <v>459</v>
      </c>
      <c r="Q31" s="405"/>
      <c r="R31" s="385">
        <f>('[1]Duel tireur GB joueuse'!K333+'[1]Duel tireur GB joueuse'!K336)/'[1]Duel tireur GB joueuse'!$K$343</f>
        <v>0</v>
      </c>
    </row>
    <row r="32" spans="16:18" x14ac:dyDescent="0.35">
      <c r="P32" s="404" t="s">
        <v>460</v>
      </c>
      <c r="Q32" s="405"/>
      <c r="R32" s="385">
        <f>('[1]Duel tireur GB joueuse'!K334+'[1]Duel tireur GB joueuse'!K337)/'[1]Duel tireur GB joueuse'!$K$343</f>
        <v>0</v>
      </c>
    </row>
    <row r="33" spans="16:19" x14ac:dyDescent="0.35">
      <c r="P33" s="398" t="s">
        <v>146</v>
      </c>
      <c r="Q33" s="379" t="s">
        <v>307</v>
      </c>
      <c r="R33" s="385">
        <f>'[1]Duel tireur GB joueuse'!K338/'[1]Duel tireur GB joueuse'!$K$343</f>
        <v>0</v>
      </c>
    </row>
    <row r="34" spans="16:19" x14ac:dyDescent="0.35">
      <c r="P34" s="399"/>
      <c r="Q34" s="376" t="s">
        <v>308</v>
      </c>
      <c r="R34" s="385">
        <f>'[1]Duel tireur GB joueuse'!K339/'[1]Duel tireur GB joueuse'!$K$343</f>
        <v>0</v>
      </c>
    </row>
    <row r="35" spans="16:19" ht="15" thickBot="1" x14ac:dyDescent="0.4">
      <c r="P35" s="400"/>
      <c r="Q35" s="376" t="s">
        <v>309</v>
      </c>
      <c r="R35" s="385">
        <f>'[1]Duel tireur GB joueuse'!K340/'[1]Duel tireur GB joueuse'!$K$343</f>
        <v>0</v>
      </c>
    </row>
    <row r="36" spans="16:19" x14ac:dyDescent="0.35">
      <c r="P36" s="380"/>
      <c r="Q36" s="376" t="s">
        <v>22</v>
      </c>
      <c r="R36" s="385">
        <f>'[1]Duel tireur GB joueuse'!K341/'[1]Duel tireur GB joueuse'!$K$343</f>
        <v>0</v>
      </c>
    </row>
    <row r="37" spans="16:19" ht="15" thickBot="1" x14ac:dyDescent="0.4">
      <c r="P37" s="381"/>
      <c r="Q37" s="382" t="s">
        <v>12</v>
      </c>
      <c r="R37" s="385">
        <f>'[1]Duel tireur GB joueuse'!K342/'[1]Duel tireur GB joueuse'!$K$343</f>
        <v>0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joueuse'!L332+'[1]Duel tireur GB joueuse'!L335)/2</f>
        <v>#DIV/0!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joueuse'!L333+'[1]Duel tireur GB joueuse'!L336)/2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joueuse'!L334+'[1]Duel tireur GB joueuse'!L337)/2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 t="e">
        <f>'[1]Duel tireur GB joueuse'!L325</f>
        <v>#DIV/0!</v>
      </c>
    </row>
    <row r="46" spans="16:19" x14ac:dyDescent="0.35">
      <c r="P46" s="399"/>
      <c r="Q46" s="375" t="s">
        <v>282</v>
      </c>
      <c r="R46" s="388" t="e">
        <f>'[1]Duel tireur GB joueuse'!L326</f>
        <v>#DIV/0!</v>
      </c>
    </row>
    <row r="47" spans="16:19" x14ac:dyDescent="0.35">
      <c r="P47" s="399"/>
      <c r="Q47" s="375" t="s">
        <v>297</v>
      </c>
      <c r="R47" s="388" t="e">
        <f>'[1]Duel tireur GB joueuse'!L327</f>
        <v>#DIV/0!</v>
      </c>
    </row>
    <row r="48" spans="16:19" x14ac:dyDescent="0.35">
      <c r="P48" s="399"/>
      <c r="Q48" s="375" t="s">
        <v>296</v>
      </c>
      <c r="R48" s="388">
        <f>'[1]Duel tireur GB joueuse'!L328</f>
        <v>1</v>
      </c>
    </row>
    <row r="49" spans="16:18" x14ac:dyDescent="0.35">
      <c r="P49" s="399"/>
      <c r="Q49" s="375" t="s">
        <v>298</v>
      </c>
      <c r="R49" s="388" t="e">
        <f>'[1]Duel tireur GB joueuse'!L329</f>
        <v>#DIV/0!</v>
      </c>
    </row>
    <row r="50" spans="16:18" x14ac:dyDescent="0.35">
      <c r="P50" s="399"/>
      <c r="Q50" s="375" t="s">
        <v>283</v>
      </c>
      <c r="R50" s="388" t="e">
        <f>'[1]Duel tireur GB joueuse'!L330</f>
        <v>#DIV/0!</v>
      </c>
    </row>
    <row r="51" spans="16:18" x14ac:dyDescent="0.35">
      <c r="P51" s="403"/>
      <c r="Q51" s="352" t="s">
        <v>17</v>
      </c>
      <c r="R51" s="388" t="e">
        <f>'[1]Duel tireur GB joueuse'!L331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joueuse'!L338</f>
        <v>#DIV/0!</v>
      </c>
    </row>
    <row r="53" spans="16:18" x14ac:dyDescent="0.35">
      <c r="P53" s="399"/>
      <c r="Q53" s="375" t="s">
        <v>308</v>
      </c>
      <c r="R53" s="389" t="e">
        <f>'[1]Duel tireur GB joueuse'!L339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joueuse'!L340</f>
        <v>#DIV/0!</v>
      </c>
    </row>
    <row r="55" spans="16:18" x14ac:dyDescent="0.35">
      <c r="P55" s="380"/>
      <c r="Q55" s="375" t="s">
        <v>22</v>
      </c>
      <c r="R55" s="389" t="e">
        <f>'[1]Duel tireur GB joueuse'!L341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joueuse'!L342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345093-9582-4897-B878-0DD6A252976A}">
  <sheetPr codeName="Feuil27"/>
  <dimension ref="P3:S58"/>
  <sheetViews>
    <sheetView workbookViewId="0">
      <selection activeCell="N23" sqref="N23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joueuse'!K300</f>
        <v>0</v>
      </c>
    </row>
    <row r="5" spans="16:18" x14ac:dyDescent="0.35">
      <c r="P5" s="399"/>
      <c r="Q5" s="376" t="s">
        <v>282</v>
      </c>
      <c r="R5" s="374">
        <f>'[1]Duel tireur GB joueuse'!K301</f>
        <v>0</v>
      </c>
    </row>
    <row r="6" spans="16:18" x14ac:dyDescent="0.35">
      <c r="P6" s="399"/>
      <c r="Q6" s="376" t="s">
        <v>297</v>
      </c>
      <c r="R6" s="374">
        <f>'[1]Duel tireur GB joueuse'!K302</f>
        <v>0</v>
      </c>
    </row>
    <row r="7" spans="16:18" x14ac:dyDescent="0.35">
      <c r="P7" s="399"/>
      <c r="Q7" s="376" t="s">
        <v>296</v>
      </c>
      <c r="R7" s="374">
        <f>'[1]Duel tireur GB joueuse'!K303</f>
        <v>0</v>
      </c>
    </row>
    <row r="8" spans="16:18" x14ac:dyDescent="0.35">
      <c r="P8" s="399"/>
      <c r="Q8" s="376" t="s">
        <v>298</v>
      </c>
      <c r="R8" s="374">
        <f>'[1]Duel tireur GB joueuse'!K304</f>
        <v>0</v>
      </c>
    </row>
    <row r="9" spans="16:18" x14ac:dyDescent="0.35">
      <c r="P9" s="399"/>
      <c r="Q9" s="376" t="s">
        <v>283</v>
      </c>
      <c r="R9" s="374">
        <f>'[1]Duel tireur GB joueuse'!K305</f>
        <v>0</v>
      </c>
    </row>
    <row r="10" spans="16:18" x14ac:dyDescent="0.35">
      <c r="P10" s="403"/>
      <c r="Q10" s="377" t="s">
        <v>17</v>
      </c>
      <c r="R10" s="374">
        <f>'[1]Duel tireur GB joueuse'!K306</f>
        <v>0</v>
      </c>
    </row>
    <row r="11" spans="16:18" x14ac:dyDescent="0.35">
      <c r="P11" s="404" t="s">
        <v>458</v>
      </c>
      <c r="Q11" s="405"/>
      <c r="R11" s="374">
        <f>('[1]Duel tireur GB joueuse'!K307+'[1]Duel tireur GB joueuse'!K310)</f>
        <v>0</v>
      </c>
    </row>
    <row r="12" spans="16:18" x14ac:dyDescent="0.35">
      <c r="P12" s="404" t="s">
        <v>459</v>
      </c>
      <c r="Q12" s="405"/>
      <c r="R12" s="374">
        <f>('[1]Duel tireur GB joueuse'!K308+'[1]Duel tireur GB joueuse'!K311)</f>
        <v>0</v>
      </c>
    </row>
    <row r="13" spans="16:18" x14ac:dyDescent="0.35">
      <c r="P13" s="404" t="s">
        <v>460</v>
      </c>
      <c r="Q13" s="405"/>
      <c r="R13" s="374">
        <f>('[1]Duel tireur GB joueuse'!K309+'[1]Duel tireur GB joueuse'!K312)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joueuse'!K313</f>
        <v>1</v>
      </c>
    </row>
    <row r="15" spans="16:18" x14ac:dyDescent="0.35">
      <c r="P15" s="399"/>
      <c r="Q15" s="376" t="s">
        <v>308</v>
      </c>
      <c r="R15" s="374">
        <f>'[1]Duel tireur GB joueuse'!K314</f>
        <v>0</v>
      </c>
    </row>
    <row r="16" spans="16:18" ht="15" thickBot="1" x14ac:dyDescent="0.4">
      <c r="P16" s="400"/>
      <c r="Q16" s="376" t="s">
        <v>309</v>
      </c>
      <c r="R16" s="374">
        <f>'[1]Duel tireur GB joueuse'!K315</f>
        <v>0</v>
      </c>
    </row>
    <row r="17" spans="16:18" x14ac:dyDescent="0.35">
      <c r="P17" s="380"/>
      <c r="Q17" s="376" t="s">
        <v>22</v>
      </c>
      <c r="R17" s="374">
        <f>'[1]Duel tireur GB joueuse'!K316</f>
        <v>0</v>
      </c>
    </row>
    <row r="18" spans="16:18" ht="15" thickBot="1" x14ac:dyDescent="0.4">
      <c r="P18" s="381"/>
      <c r="Q18" s="382" t="s">
        <v>12</v>
      </c>
      <c r="R18" s="374">
        <f>'[1]Duel tireur GB joueuse'!K317</f>
        <v>0</v>
      </c>
    </row>
    <row r="19" spans="16:18" x14ac:dyDescent="0.35">
      <c r="Q19" s="383" t="s">
        <v>461</v>
      </c>
      <c r="R19" s="384">
        <f>SUM(R4:R18)</f>
        <v>1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joueuse'!K300/'[1]Duel tireur GB joueuse'!$K$318</f>
        <v>0</v>
      </c>
    </row>
    <row r="24" spans="16:18" x14ac:dyDescent="0.35">
      <c r="P24" s="399"/>
      <c r="Q24" s="376" t="s">
        <v>282</v>
      </c>
      <c r="R24" s="385">
        <f>'[1]Duel tireur GB joueuse'!K301/'[1]Duel tireur GB joueuse'!$K$318</f>
        <v>0</v>
      </c>
    </row>
    <row r="25" spans="16:18" x14ac:dyDescent="0.35">
      <c r="P25" s="399"/>
      <c r="Q25" s="376" t="s">
        <v>297</v>
      </c>
      <c r="R25" s="385">
        <f>'[1]Duel tireur GB joueuse'!K302/'[1]Duel tireur GB joueuse'!$K$318</f>
        <v>0</v>
      </c>
    </row>
    <row r="26" spans="16:18" x14ac:dyDescent="0.35">
      <c r="P26" s="399"/>
      <c r="Q26" s="376" t="s">
        <v>296</v>
      </c>
      <c r="R26" s="385">
        <f>'[1]Duel tireur GB joueuse'!K303/'[1]Duel tireur GB joueuse'!$K$318</f>
        <v>0</v>
      </c>
    </row>
    <row r="27" spans="16:18" x14ac:dyDescent="0.35">
      <c r="P27" s="399"/>
      <c r="Q27" s="376" t="s">
        <v>298</v>
      </c>
      <c r="R27" s="385">
        <f>'[1]Duel tireur GB joueuse'!K304/'[1]Duel tireur GB joueuse'!$K$318</f>
        <v>0</v>
      </c>
    </row>
    <row r="28" spans="16:18" x14ac:dyDescent="0.35">
      <c r="P28" s="399"/>
      <c r="Q28" s="376" t="s">
        <v>283</v>
      </c>
      <c r="R28" s="385">
        <f>'[1]Duel tireur GB joueuse'!K305/'[1]Duel tireur GB joueuse'!$K$318</f>
        <v>0</v>
      </c>
    </row>
    <row r="29" spans="16:18" x14ac:dyDescent="0.35">
      <c r="P29" s="403"/>
      <c r="Q29" s="377" t="s">
        <v>17</v>
      </c>
      <c r="R29" s="385">
        <f>'[1]Duel tireur GB joueuse'!K306/'[1]Duel tireur GB joueuse'!$K$318</f>
        <v>0</v>
      </c>
    </row>
    <row r="30" spans="16:18" x14ac:dyDescent="0.35">
      <c r="P30" s="404" t="s">
        <v>458</v>
      </c>
      <c r="Q30" s="405"/>
      <c r="R30" s="385">
        <f>('[1]Duel tireur GB joueuse'!K307+'[1]Duel tireur GB joueuse'!K310)/'[1]Duel tireur GB joueuse'!$K$318</f>
        <v>0</v>
      </c>
    </row>
    <row r="31" spans="16:18" x14ac:dyDescent="0.35">
      <c r="P31" s="404" t="s">
        <v>459</v>
      </c>
      <c r="Q31" s="405"/>
      <c r="R31" s="385">
        <f>('[1]Duel tireur GB joueuse'!K308+'[1]Duel tireur GB joueuse'!K311)/'[1]Duel tireur GB joueuse'!$K$318</f>
        <v>0</v>
      </c>
    </row>
    <row r="32" spans="16:18" x14ac:dyDescent="0.35">
      <c r="P32" s="404" t="s">
        <v>460</v>
      </c>
      <c r="Q32" s="405"/>
      <c r="R32" s="385">
        <f>('[1]Duel tireur GB joueuse'!K309+'[1]Duel tireur GB joueuse'!K312)/'[1]Duel tireur GB joueuse'!$K$318</f>
        <v>0</v>
      </c>
    </row>
    <row r="33" spans="16:19" x14ac:dyDescent="0.35">
      <c r="P33" s="398" t="s">
        <v>146</v>
      </c>
      <c r="Q33" s="379" t="s">
        <v>307</v>
      </c>
      <c r="R33" s="385">
        <f>'[1]Duel tireur GB joueuse'!K313/'[1]Duel tireur GB joueuse'!$K$318</f>
        <v>1</v>
      </c>
    </row>
    <row r="34" spans="16:19" x14ac:dyDescent="0.35">
      <c r="P34" s="399"/>
      <c r="Q34" s="376" t="s">
        <v>308</v>
      </c>
      <c r="R34" s="385">
        <f>'[1]Duel tireur GB joueuse'!K314/'[1]Duel tireur GB joueuse'!$K$318</f>
        <v>0</v>
      </c>
    </row>
    <row r="35" spans="16:19" ht="15" thickBot="1" x14ac:dyDescent="0.4">
      <c r="P35" s="400"/>
      <c r="Q35" s="376" t="s">
        <v>309</v>
      </c>
      <c r="R35" s="385">
        <f>'[1]Duel tireur GB joueuse'!K315/'[1]Duel tireur GB joueuse'!$K$318</f>
        <v>0</v>
      </c>
    </row>
    <row r="36" spans="16:19" x14ac:dyDescent="0.35">
      <c r="P36" s="380"/>
      <c r="Q36" s="376" t="s">
        <v>22</v>
      </c>
      <c r="R36" s="385">
        <f>'[1]Duel tireur GB joueuse'!K316/'[1]Duel tireur GB joueuse'!$K$318</f>
        <v>0</v>
      </c>
    </row>
    <row r="37" spans="16:19" ht="15" thickBot="1" x14ac:dyDescent="0.4">
      <c r="P37" s="381"/>
      <c r="Q37" s="382" t="s">
        <v>12</v>
      </c>
      <c r="R37" s="385">
        <f>'[1]Duel tireur GB joueuse'!K317/'[1]Duel tireur GB joueuse'!$K$318</f>
        <v>0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joueuse'!L307+'[1]Duel tireur GB joueuse'!L310)/2</f>
        <v>#DIV/0!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joueuse'!L308+'[1]Duel tireur GB joueuse'!L311)/2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joueuse'!L309+'[1]Duel tireur GB joueuse'!L312)/2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 t="e">
        <f>'[1]Duel tireur GB joueuse'!L300</f>
        <v>#DIV/0!</v>
      </c>
    </row>
    <row r="46" spans="16:19" x14ac:dyDescent="0.35">
      <c r="P46" s="399"/>
      <c r="Q46" s="375" t="s">
        <v>282</v>
      </c>
      <c r="R46" s="388" t="e">
        <f>'[1]Duel tireur GB joueuse'!L301</f>
        <v>#DIV/0!</v>
      </c>
    </row>
    <row r="47" spans="16:19" x14ac:dyDescent="0.35">
      <c r="P47" s="399"/>
      <c r="Q47" s="375" t="s">
        <v>297</v>
      </c>
      <c r="R47" s="388" t="e">
        <f>'[1]Duel tireur GB joueuse'!L302</f>
        <v>#DIV/0!</v>
      </c>
    </row>
    <row r="48" spans="16:19" x14ac:dyDescent="0.35">
      <c r="P48" s="399"/>
      <c r="Q48" s="375" t="s">
        <v>296</v>
      </c>
      <c r="R48" s="388" t="e">
        <f>'[1]Duel tireur GB joueuse'!L303</f>
        <v>#DIV/0!</v>
      </c>
    </row>
    <row r="49" spans="16:18" x14ac:dyDescent="0.35">
      <c r="P49" s="399"/>
      <c r="Q49" s="375" t="s">
        <v>298</v>
      </c>
      <c r="R49" s="388" t="e">
        <f>'[1]Duel tireur GB joueuse'!L304</f>
        <v>#DIV/0!</v>
      </c>
    </row>
    <row r="50" spans="16:18" x14ac:dyDescent="0.35">
      <c r="P50" s="399"/>
      <c r="Q50" s="375" t="s">
        <v>283</v>
      </c>
      <c r="R50" s="388" t="e">
        <f>'[1]Duel tireur GB joueuse'!L305</f>
        <v>#DIV/0!</v>
      </c>
    </row>
    <row r="51" spans="16:18" x14ac:dyDescent="0.35">
      <c r="P51" s="403"/>
      <c r="Q51" s="352" t="s">
        <v>17</v>
      </c>
      <c r="R51" s="388" t="e">
        <f>'[1]Duel tireur GB joueuse'!L306</f>
        <v>#DIV/0!</v>
      </c>
    </row>
    <row r="52" spans="16:18" x14ac:dyDescent="0.35">
      <c r="P52" s="398" t="s">
        <v>146</v>
      </c>
      <c r="Q52" s="378" t="s">
        <v>307</v>
      </c>
      <c r="R52" s="389">
        <f>'[1]Duel tireur GB joueuse'!L313</f>
        <v>0</v>
      </c>
    </row>
    <row r="53" spans="16:18" x14ac:dyDescent="0.35">
      <c r="P53" s="399"/>
      <c r="Q53" s="375" t="s">
        <v>308</v>
      </c>
      <c r="R53" s="389" t="e">
        <f>'[1]Duel tireur GB joueuse'!L314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joueuse'!L315</f>
        <v>#DIV/0!</v>
      </c>
    </row>
    <row r="55" spans="16:18" x14ac:dyDescent="0.35">
      <c r="P55" s="380"/>
      <c r="Q55" s="375" t="s">
        <v>22</v>
      </c>
      <c r="R55" s="389" t="e">
        <f>'[1]Duel tireur GB joueuse'!L316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joueuse'!L317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854205-C76B-4C85-AD6C-A6EE19FE9060}">
  <sheetPr codeName="Feuil26"/>
  <dimension ref="P3:S58"/>
  <sheetViews>
    <sheetView topLeftCell="A25" workbookViewId="0">
      <selection activeCell="M18" sqref="M18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joueuse'!K126</f>
        <v>0</v>
      </c>
    </row>
    <row r="5" spans="16:18" x14ac:dyDescent="0.35">
      <c r="P5" s="399"/>
      <c r="Q5" s="376" t="s">
        <v>282</v>
      </c>
      <c r="R5" s="374">
        <f>'[1]Duel tireur GB joueuse'!K127</f>
        <v>3</v>
      </c>
    </row>
    <row r="6" spans="16:18" x14ac:dyDescent="0.35">
      <c r="P6" s="399"/>
      <c r="Q6" s="376" t="s">
        <v>297</v>
      </c>
      <c r="R6" s="374">
        <f>'[1]Duel tireur GB joueuse'!K128</f>
        <v>0</v>
      </c>
    </row>
    <row r="7" spans="16:18" x14ac:dyDescent="0.35">
      <c r="P7" s="399"/>
      <c r="Q7" s="376" t="s">
        <v>296</v>
      </c>
      <c r="R7" s="374">
        <f>'[1]Duel tireur GB joueuse'!K129</f>
        <v>0</v>
      </c>
    </row>
    <row r="8" spans="16:18" x14ac:dyDescent="0.35">
      <c r="P8" s="399"/>
      <c r="Q8" s="376" t="s">
        <v>298</v>
      </c>
      <c r="R8" s="374">
        <f>'[1]Duel tireur GB joueuse'!K130</f>
        <v>0</v>
      </c>
    </row>
    <row r="9" spans="16:18" x14ac:dyDescent="0.35">
      <c r="P9" s="399"/>
      <c r="Q9" s="376" t="s">
        <v>283</v>
      </c>
      <c r="R9" s="374">
        <f>'[1]Duel tireur GB joueuse'!K131</f>
        <v>0</v>
      </c>
    </row>
    <row r="10" spans="16:18" x14ac:dyDescent="0.35">
      <c r="P10" s="403"/>
      <c r="Q10" s="377" t="s">
        <v>17</v>
      </c>
      <c r="R10" s="374">
        <f>'[1]Duel tireur GB joueuse'!K132</f>
        <v>0</v>
      </c>
    </row>
    <row r="11" spans="16:18" x14ac:dyDescent="0.35">
      <c r="P11" s="404" t="s">
        <v>458</v>
      </c>
      <c r="Q11" s="405"/>
      <c r="R11" s="374">
        <f>('[1]Duel tireur GB joueuse'!K133+'[1]Duel tireur GB joueuse'!K136)</f>
        <v>2</v>
      </c>
    </row>
    <row r="12" spans="16:18" x14ac:dyDescent="0.35">
      <c r="P12" s="404" t="s">
        <v>459</v>
      </c>
      <c r="Q12" s="405"/>
      <c r="R12" s="374">
        <f>('[1]Duel tireur GB joueuse'!K134+'[1]Duel tireur GB joueuse'!K137)</f>
        <v>0</v>
      </c>
    </row>
    <row r="13" spans="16:18" x14ac:dyDescent="0.35">
      <c r="P13" s="404" t="s">
        <v>460</v>
      </c>
      <c r="Q13" s="405"/>
      <c r="R13" s="374">
        <f>('[1]Duel tireur GB joueuse'!K135+'[1]Duel tireur GB joueuse'!K138)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joueuse'!K139</f>
        <v>0</v>
      </c>
    </row>
    <row r="15" spans="16:18" x14ac:dyDescent="0.35">
      <c r="P15" s="399"/>
      <c r="Q15" s="376" t="s">
        <v>308</v>
      </c>
      <c r="R15" s="374">
        <f>'[1]Duel tireur GB joueuse'!K140</f>
        <v>3</v>
      </c>
    </row>
    <row r="16" spans="16:18" ht="15" thickBot="1" x14ac:dyDescent="0.4">
      <c r="P16" s="400"/>
      <c r="Q16" s="376" t="s">
        <v>309</v>
      </c>
      <c r="R16" s="374">
        <f>'[1]Duel tireur GB joueuse'!K141</f>
        <v>0</v>
      </c>
    </row>
    <row r="17" spans="16:18" x14ac:dyDescent="0.35">
      <c r="P17" s="380"/>
      <c r="Q17" s="376" t="s">
        <v>22</v>
      </c>
      <c r="R17" s="374">
        <f>'[1]Duel tireur GB joueuse'!K142</f>
        <v>0</v>
      </c>
    </row>
    <row r="18" spans="16:18" ht="15" thickBot="1" x14ac:dyDescent="0.4">
      <c r="P18" s="381"/>
      <c r="Q18" s="382" t="s">
        <v>12</v>
      </c>
      <c r="R18" s="374">
        <f>'[1]Duel tireur GB joueuse'!K143</f>
        <v>0</v>
      </c>
    </row>
    <row r="19" spans="16:18" x14ac:dyDescent="0.35">
      <c r="Q19" s="383" t="s">
        <v>461</v>
      </c>
      <c r="R19" s="384">
        <f>SUM(R4:R18)</f>
        <v>8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joueuse'!K126/'[1]Duel tireur GB joueuse'!$K$144</f>
        <v>0</v>
      </c>
    </row>
    <row r="24" spans="16:18" x14ac:dyDescent="0.35">
      <c r="P24" s="399"/>
      <c r="Q24" s="376" t="s">
        <v>282</v>
      </c>
      <c r="R24" s="385">
        <f>'[1]Duel tireur GB joueuse'!K127/'[1]Duel tireur GB joueuse'!$K$144</f>
        <v>0.375</v>
      </c>
    </row>
    <row r="25" spans="16:18" x14ac:dyDescent="0.35">
      <c r="P25" s="399"/>
      <c r="Q25" s="376" t="s">
        <v>297</v>
      </c>
      <c r="R25" s="385">
        <f>'[1]Duel tireur GB joueuse'!K128/'[1]Duel tireur GB joueuse'!$K$144</f>
        <v>0</v>
      </c>
    </row>
    <row r="26" spans="16:18" x14ac:dyDescent="0.35">
      <c r="P26" s="399"/>
      <c r="Q26" s="376" t="s">
        <v>296</v>
      </c>
      <c r="R26" s="385">
        <f>'[1]Duel tireur GB joueuse'!K129/'[1]Duel tireur GB joueuse'!$K$144</f>
        <v>0</v>
      </c>
    </row>
    <row r="27" spans="16:18" x14ac:dyDescent="0.35">
      <c r="P27" s="399"/>
      <c r="Q27" s="376" t="s">
        <v>298</v>
      </c>
      <c r="R27" s="385">
        <f>'[1]Duel tireur GB joueuse'!K130/'[1]Duel tireur GB joueuse'!$K$144</f>
        <v>0</v>
      </c>
    </row>
    <row r="28" spans="16:18" x14ac:dyDescent="0.35">
      <c r="P28" s="399"/>
      <c r="Q28" s="376" t="s">
        <v>283</v>
      </c>
      <c r="R28" s="385">
        <f>'[1]Duel tireur GB joueuse'!K131/'[1]Duel tireur GB joueuse'!$K$144</f>
        <v>0</v>
      </c>
    </row>
    <row r="29" spans="16:18" x14ac:dyDescent="0.35">
      <c r="P29" s="403"/>
      <c r="Q29" s="377" t="s">
        <v>17</v>
      </c>
      <c r="R29" s="385">
        <f>'[1]Duel tireur GB joueuse'!K132/'[1]Duel tireur GB joueuse'!$K$144</f>
        <v>0</v>
      </c>
    </row>
    <row r="30" spans="16:18" x14ac:dyDescent="0.35">
      <c r="P30" s="404" t="s">
        <v>458</v>
      </c>
      <c r="Q30" s="405"/>
      <c r="R30" s="385">
        <f>('[1]Duel tireur GB joueuse'!K133+'[1]Duel tireur GB joueuse'!K136)/'[1]Duel tireur GB joueuse'!$K$144</f>
        <v>0.25</v>
      </c>
    </row>
    <row r="31" spans="16:18" x14ac:dyDescent="0.35">
      <c r="P31" s="404" t="s">
        <v>459</v>
      </c>
      <c r="Q31" s="405"/>
      <c r="R31" s="385">
        <f>('[1]Duel tireur GB joueuse'!K134+'[1]Duel tireur GB joueuse'!K137)/'[1]Duel tireur GB joueuse'!$K$144</f>
        <v>0</v>
      </c>
    </row>
    <row r="32" spans="16:18" x14ac:dyDescent="0.35">
      <c r="P32" s="404" t="s">
        <v>460</v>
      </c>
      <c r="Q32" s="405"/>
      <c r="R32" s="385">
        <f>('[1]Duel tireur GB joueuse'!K135+'[1]Duel tireur GB joueuse'!K138)/'[1]Duel tireur GB joueuse'!$K$144</f>
        <v>0</v>
      </c>
    </row>
    <row r="33" spans="16:19" x14ac:dyDescent="0.35">
      <c r="P33" s="398" t="s">
        <v>146</v>
      </c>
      <c r="Q33" s="379" t="s">
        <v>307</v>
      </c>
      <c r="R33" s="385">
        <f>'[1]Duel tireur GB joueuse'!K139/'[1]Duel tireur GB joueuse'!$K$144</f>
        <v>0</v>
      </c>
    </row>
    <row r="34" spans="16:19" x14ac:dyDescent="0.35">
      <c r="P34" s="399"/>
      <c r="Q34" s="376" t="s">
        <v>308</v>
      </c>
      <c r="R34" s="385">
        <f>'[1]Duel tireur GB joueuse'!K140/'[1]Duel tireur GB joueuse'!$K$144</f>
        <v>0.375</v>
      </c>
    </row>
    <row r="35" spans="16:19" ht="15" thickBot="1" x14ac:dyDescent="0.4">
      <c r="P35" s="400"/>
      <c r="Q35" s="376" t="s">
        <v>309</v>
      </c>
      <c r="R35" s="385">
        <f>'[1]Duel tireur GB joueuse'!K141/'[1]Duel tireur GB joueuse'!$K$144</f>
        <v>0</v>
      </c>
    </row>
    <row r="36" spans="16:19" x14ac:dyDescent="0.35">
      <c r="P36" s="380"/>
      <c r="Q36" s="376" t="s">
        <v>22</v>
      </c>
      <c r="R36" s="385">
        <f>'[1]Duel tireur GB joueuse'!K142/'[1]Duel tireur GB joueuse'!$K$144</f>
        <v>0</v>
      </c>
    </row>
    <row r="37" spans="16:19" ht="15" thickBot="1" x14ac:dyDescent="0.4">
      <c r="P37" s="381"/>
      <c r="Q37" s="382" t="s">
        <v>12</v>
      </c>
      <c r="R37" s="385">
        <f>'[1]Duel tireur GB joueuse'!K143/'[1]Duel tireur GB joueuse'!$K$144</f>
        <v>0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joueuse'!L133+'[1]Duel tireur GB joueuse'!L136)/2</f>
        <v>#DIV/0!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joueuse'!L134+'[1]Duel tireur GB joueuse'!L137)/2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joueuse'!L135+'[1]Duel tireur GB joueuse'!L138)/2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 t="e">
        <f>'[1]Duel tireur GB joueuse'!L126</f>
        <v>#DIV/0!</v>
      </c>
    </row>
    <row r="46" spans="16:19" x14ac:dyDescent="0.35">
      <c r="P46" s="399"/>
      <c r="Q46" s="375" t="s">
        <v>282</v>
      </c>
      <c r="R46" s="388">
        <f>'[1]Duel tireur GB joueuse'!L127</f>
        <v>1</v>
      </c>
    </row>
    <row r="47" spans="16:19" x14ac:dyDescent="0.35">
      <c r="P47" s="399"/>
      <c r="Q47" s="375" t="s">
        <v>297</v>
      </c>
      <c r="R47" s="388" t="e">
        <f>'[1]Duel tireur GB joueuse'!L128</f>
        <v>#DIV/0!</v>
      </c>
    </row>
    <row r="48" spans="16:19" x14ac:dyDescent="0.35">
      <c r="P48" s="399"/>
      <c r="Q48" s="375" t="s">
        <v>296</v>
      </c>
      <c r="R48" s="388" t="e">
        <f>'[1]Duel tireur GB joueuse'!L129</f>
        <v>#DIV/0!</v>
      </c>
    </row>
    <row r="49" spans="16:18" x14ac:dyDescent="0.35">
      <c r="P49" s="399"/>
      <c r="Q49" s="375" t="s">
        <v>298</v>
      </c>
      <c r="R49" s="388" t="e">
        <f>'[1]Duel tireur GB joueuse'!L130</f>
        <v>#DIV/0!</v>
      </c>
    </row>
    <row r="50" spans="16:18" x14ac:dyDescent="0.35">
      <c r="P50" s="399"/>
      <c r="Q50" s="375" t="s">
        <v>283</v>
      </c>
      <c r="R50" s="388" t="e">
        <f>'[1]Duel tireur GB joueuse'!L131</f>
        <v>#DIV/0!</v>
      </c>
    </row>
    <row r="51" spans="16:18" x14ac:dyDescent="0.35">
      <c r="P51" s="403"/>
      <c r="Q51" s="352" t="s">
        <v>17</v>
      </c>
      <c r="R51" s="388" t="e">
        <f>'[1]Duel tireur GB joueuse'!L132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joueuse'!L139</f>
        <v>#DIV/0!</v>
      </c>
    </row>
    <row r="53" spans="16:18" x14ac:dyDescent="0.35">
      <c r="P53" s="399"/>
      <c r="Q53" s="375" t="s">
        <v>308</v>
      </c>
      <c r="R53" s="389">
        <f>'[1]Duel tireur GB joueuse'!L140</f>
        <v>0.33333333333333331</v>
      </c>
    </row>
    <row r="54" spans="16:18" ht="15" thickBot="1" x14ac:dyDescent="0.4">
      <c r="P54" s="400"/>
      <c r="Q54" s="375" t="s">
        <v>309</v>
      </c>
      <c r="R54" s="389" t="e">
        <f>'[1]Duel tireur GB joueuse'!L141</f>
        <v>#DIV/0!</v>
      </c>
    </row>
    <row r="55" spans="16:18" x14ac:dyDescent="0.35">
      <c r="P55" s="380"/>
      <c r="Q55" s="375" t="s">
        <v>22</v>
      </c>
      <c r="R55" s="389" t="e">
        <f>'[1]Duel tireur GB joueuse'!L142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joueuse'!L143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B93A8-72BD-43BD-8471-7E81D2935838}">
  <sheetPr codeName="Feuil25"/>
  <dimension ref="P3:S58"/>
  <sheetViews>
    <sheetView topLeftCell="A13" workbookViewId="0">
      <selection activeCell="S1" sqref="S1:S1048576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joueuse'!K201</f>
        <v>0</v>
      </c>
    </row>
    <row r="5" spans="16:18" x14ac:dyDescent="0.35">
      <c r="P5" s="399"/>
      <c r="Q5" s="376" t="s">
        <v>282</v>
      </c>
      <c r="R5" s="374">
        <f>'[1]Duel tireur GB joueuse'!K202</f>
        <v>1</v>
      </c>
    </row>
    <row r="6" spans="16:18" x14ac:dyDescent="0.35">
      <c r="P6" s="399"/>
      <c r="Q6" s="376" t="s">
        <v>297</v>
      </c>
      <c r="R6" s="374">
        <f>'[1]Duel tireur GB joueuse'!K203</f>
        <v>0</v>
      </c>
    </row>
    <row r="7" spans="16:18" x14ac:dyDescent="0.35">
      <c r="P7" s="399"/>
      <c r="Q7" s="376" t="s">
        <v>296</v>
      </c>
      <c r="R7" s="374">
        <f>'[1]Duel tireur GB joueuse'!K204</f>
        <v>0</v>
      </c>
    </row>
    <row r="8" spans="16:18" x14ac:dyDescent="0.35">
      <c r="P8" s="399"/>
      <c r="Q8" s="376" t="s">
        <v>298</v>
      </c>
      <c r="R8" s="374">
        <f>'[1]Duel tireur GB joueuse'!K205</f>
        <v>0</v>
      </c>
    </row>
    <row r="9" spans="16:18" x14ac:dyDescent="0.35">
      <c r="P9" s="399"/>
      <c r="Q9" s="376" t="s">
        <v>283</v>
      </c>
      <c r="R9" s="374">
        <f>'[1]Duel tireur GB joueuse'!K206</f>
        <v>1</v>
      </c>
    </row>
    <row r="10" spans="16:18" x14ac:dyDescent="0.35">
      <c r="P10" s="403"/>
      <c r="Q10" s="377" t="s">
        <v>17</v>
      </c>
      <c r="R10" s="374">
        <f>'[1]Duel tireur GB joueuse'!K207</f>
        <v>0</v>
      </c>
    </row>
    <row r="11" spans="16:18" x14ac:dyDescent="0.35">
      <c r="P11" s="404" t="s">
        <v>458</v>
      </c>
      <c r="Q11" s="405"/>
      <c r="R11" s="374">
        <f>('[1]Duel tireur GB joueuse'!K208+'[1]Duel tireur GB joueuse'!K211)</f>
        <v>0</v>
      </c>
    </row>
    <row r="12" spans="16:18" x14ac:dyDescent="0.35">
      <c r="P12" s="404" t="s">
        <v>459</v>
      </c>
      <c r="Q12" s="405"/>
      <c r="R12" s="374">
        <f>('[1]Duel tireur GB joueuse'!K209+'[1]Duel tireur GB joueuse'!K212)</f>
        <v>0</v>
      </c>
    </row>
    <row r="13" spans="16:18" x14ac:dyDescent="0.35">
      <c r="P13" s="404" t="s">
        <v>460</v>
      </c>
      <c r="Q13" s="405"/>
      <c r="R13" s="374">
        <f>('[1]Duel tireur GB joueuse'!K210+'[1]Duel tireur GB joueuse'!K213)</f>
        <v>2</v>
      </c>
    </row>
    <row r="14" spans="16:18" x14ac:dyDescent="0.35">
      <c r="P14" s="398" t="s">
        <v>146</v>
      </c>
      <c r="Q14" s="379" t="s">
        <v>307</v>
      </c>
      <c r="R14" s="374">
        <f>'[1]Duel tireur GB joueuse'!K214</f>
        <v>0</v>
      </c>
    </row>
    <row r="15" spans="16:18" x14ac:dyDescent="0.35">
      <c r="P15" s="399"/>
      <c r="Q15" s="376" t="s">
        <v>308</v>
      </c>
      <c r="R15" s="374">
        <f>'[1]Duel tireur GB joueuse'!K215</f>
        <v>0</v>
      </c>
    </row>
    <row r="16" spans="16:18" ht="15" thickBot="1" x14ac:dyDescent="0.4">
      <c r="P16" s="400"/>
      <c r="Q16" s="376" t="s">
        <v>309</v>
      </c>
      <c r="R16" s="374">
        <f>'[1]Duel tireur GB joueuse'!K216</f>
        <v>0</v>
      </c>
    </row>
    <row r="17" spans="16:18" x14ac:dyDescent="0.35">
      <c r="P17" s="380"/>
      <c r="Q17" s="376" t="s">
        <v>22</v>
      </c>
      <c r="R17" s="374">
        <f>'[1]Duel tireur GB joueuse'!K217</f>
        <v>0</v>
      </c>
    </row>
    <row r="18" spans="16:18" ht="15" thickBot="1" x14ac:dyDescent="0.4">
      <c r="P18" s="381"/>
      <c r="Q18" s="382" t="s">
        <v>12</v>
      </c>
      <c r="R18" s="374">
        <f>'[1]Duel tireur GB joueuse'!K218</f>
        <v>0</v>
      </c>
    </row>
    <row r="19" spans="16:18" x14ac:dyDescent="0.35">
      <c r="Q19" s="383" t="s">
        <v>461</v>
      </c>
      <c r="R19" s="384">
        <f>SUM(R4:R18)</f>
        <v>4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joueuse'!K201/'[1]Duel tireur GB joueuse'!$K$219</f>
        <v>0</v>
      </c>
    </row>
    <row r="24" spans="16:18" x14ac:dyDescent="0.35">
      <c r="P24" s="399"/>
      <c r="Q24" s="376" t="s">
        <v>282</v>
      </c>
      <c r="R24" s="385">
        <f>'[1]Duel tireur GB joueuse'!K202/'[1]Duel tireur GB joueuse'!$K$219</f>
        <v>0.25</v>
      </c>
    </row>
    <row r="25" spans="16:18" x14ac:dyDescent="0.35">
      <c r="P25" s="399"/>
      <c r="Q25" s="376" t="s">
        <v>297</v>
      </c>
      <c r="R25" s="385">
        <f>'[1]Duel tireur GB joueuse'!K203/'[1]Duel tireur GB joueuse'!$K$219</f>
        <v>0</v>
      </c>
    </row>
    <row r="26" spans="16:18" x14ac:dyDescent="0.35">
      <c r="P26" s="399"/>
      <c r="Q26" s="376" t="s">
        <v>296</v>
      </c>
      <c r="R26" s="385">
        <f>'[1]Duel tireur GB joueuse'!K204/'[1]Duel tireur GB joueuse'!$K$219</f>
        <v>0</v>
      </c>
    </row>
    <row r="27" spans="16:18" x14ac:dyDescent="0.35">
      <c r="P27" s="399"/>
      <c r="Q27" s="376" t="s">
        <v>298</v>
      </c>
      <c r="R27" s="385">
        <f>'[1]Duel tireur GB joueuse'!K205/'[1]Duel tireur GB joueuse'!$K$219</f>
        <v>0</v>
      </c>
    </row>
    <row r="28" spans="16:18" x14ac:dyDescent="0.35">
      <c r="P28" s="399"/>
      <c r="Q28" s="376" t="s">
        <v>283</v>
      </c>
      <c r="R28" s="385">
        <f>'[1]Duel tireur GB joueuse'!K206/'[1]Duel tireur GB joueuse'!$K$219</f>
        <v>0.25</v>
      </c>
    </row>
    <row r="29" spans="16:18" x14ac:dyDescent="0.35">
      <c r="P29" s="403"/>
      <c r="Q29" s="377" t="s">
        <v>17</v>
      </c>
      <c r="R29" s="385">
        <f>'[1]Duel tireur GB joueuse'!K207/'[1]Duel tireur GB joueuse'!$K$219</f>
        <v>0</v>
      </c>
    </row>
    <row r="30" spans="16:18" x14ac:dyDescent="0.35">
      <c r="P30" s="404" t="s">
        <v>458</v>
      </c>
      <c r="Q30" s="405"/>
      <c r="R30" s="385">
        <f>('[1]Duel tireur GB joueuse'!K208+'[1]Duel tireur GB joueuse'!K211)/'[1]Duel tireur GB joueuse'!$K$219</f>
        <v>0</v>
      </c>
    </row>
    <row r="31" spans="16:18" x14ac:dyDescent="0.35">
      <c r="P31" s="404" t="s">
        <v>459</v>
      </c>
      <c r="Q31" s="405"/>
      <c r="R31" s="385">
        <f>('[1]Duel tireur GB joueuse'!K209+'[1]Duel tireur GB joueuse'!K212)/'[1]Duel tireur GB joueuse'!$K$219</f>
        <v>0</v>
      </c>
    </row>
    <row r="32" spans="16:18" x14ac:dyDescent="0.35">
      <c r="P32" s="404" t="s">
        <v>460</v>
      </c>
      <c r="Q32" s="405"/>
      <c r="R32" s="385">
        <f>('[1]Duel tireur GB joueuse'!K210+'[1]Duel tireur GB joueuse'!K213)/'[1]Duel tireur GB joueuse'!$K$219</f>
        <v>0.5</v>
      </c>
    </row>
    <row r="33" spans="16:19" x14ac:dyDescent="0.35">
      <c r="P33" s="398" t="s">
        <v>146</v>
      </c>
      <c r="Q33" s="379" t="s">
        <v>307</v>
      </c>
      <c r="R33" s="385">
        <f>'[1]Duel tireur GB joueuse'!K214/'[1]Duel tireur GB joueuse'!$K$219</f>
        <v>0</v>
      </c>
    </row>
    <row r="34" spans="16:19" x14ac:dyDescent="0.35">
      <c r="P34" s="399"/>
      <c r="Q34" s="376" t="s">
        <v>308</v>
      </c>
      <c r="R34" s="385">
        <f>'[1]Duel tireur GB joueuse'!K215/'[1]Duel tireur GB joueuse'!$K$219</f>
        <v>0</v>
      </c>
    </row>
    <row r="35" spans="16:19" ht="15" thickBot="1" x14ac:dyDescent="0.4">
      <c r="P35" s="400"/>
      <c r="Q35" s="376" t="s">
        <v>309</v>
      </c>
      <c r="R35" s="385">
        <f>'[1]Duel tireur GB joueuse'!K216/'[1]Duel tireur GB joueuse'!$K$219</f>
        <v>0</v>
      </c>
    </row>
    <row r="36" spans="16:19" x14ac:dyDescent="0.35">
      <c r="P36" s="380"/>
      <c r="Q36" s="376" t="s">
        <v>22</v>
      </c>
      <c r="R36" s="385">
        <f>'[1]Duel tireur GB joueuse'!K217/'[1]Duel tireur GB joueuse'!$K$219</f>
        <v>0</v>
      </c>
    </row>
    <row r="37" spans="16:19" ht="15" thickBot="1" x14ac:dyDescent="0.4">
      <c r="P37" s="381"/>
      <c r="Q37" s="382" t="s">
        <v>12</v>
      </c>
      <c r="R37" s="385">
        <f>'[1]Duel tireur GB joueuse'!K218/'[1]Duel tireur GB joueuse'!$K$219</f>
        <v>0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joueuse'!L208+'[1]Duel tireur GB joueuse'!L211)/2</f>
        <v>#DIV/0!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joueuse'!L209+'[1]Duel tireur GB joueuse'!L212)/2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joueuse'!L210+'[1]Duel tireur GB joueuse'!L213)/2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 t="e">
        <f>'[1]Duel tireur GB joueuse'!L201</f>
        <v>#DIV/0!</v>
      </c>
    </row>
    <row r="46" spans="16:19" x14ac:dyDescent="0.35">
      <c r="P46" s="399"/>
      <c r="Q46" s="375" t="s">
        <v>282</v>
      </c>
      <c r="R46" s="388">
        <f>'[1]Duel tireur GB joueuse'!L202</f>
        <v>0</v>
      </c>
    </row>
    <row r="47" spans="16:19" x14ac:dyDescent="0.35">
      <c r="P47" s="399"/>
      <c r="Q47" s="375" t="s">
        <v>297</v>
      </c>
      <c r="R47" s="388" t="e">
        <f>'[1]Duel tireur GB joueuse'!L203</f>
        <v>#DIV/0!</v>
      </c>
    </row>
    <row r="48" spans="16:19" x14ac:dyDescent="0.35">
      <c r="P48" s="399"/>
      <c r="Q48" s="375" t="s">
        <v>296</v>
      </c>
      <c r="R48" s="388" t="e">
        <f>'[1]Duel tireur GB joueuse'!L204</f>
        <v>#DIV/0!</v>
      </c>
    </row>
    <row r="49" spans="16:18" x14ac:dyDescent="0.35">
      <c r="P49" s="399"/>
      <c r="Q49" s="375" t="s">
        <v>298</v>
      </c>
      <c r="R49" s="388" t="e">
        <f>'[1]Duel tireur GB joueuse'!L205</f>
        <v>#DIV/0!</v>
      </c>
    </row>
    <row r="50" spans="16:18" x14ac:dyDescent="0.35">
      <c r="P50" s="399"/>
      <c r="Q50" s="375" t="s">
        <v>283</v>
      </c>
      <c r="R50" s="388">
        <f>'[1]Duel tireur GB joueuse'!L206</f>
        <v>1</v>
      </c>
    </row>
    <row r="51" spans="16:18" x14ac:dyDescent="0.35">
      <c r="P51" s="403"/>
      <c r="Q51" s="352" t="s">
        <v>17</v>
      </c>
      <c r="R51" s="388" t="e">
        <f>'[1]Duel tireur GB joueuse'!L207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joueuse'!L214</f>
        <v>#DIV/0!</v>
      </c>
    </row>
    <row r="53" spans="16:18" x14ac:dyDescent="0.35">
      <c r="P53" s="399"/>
      <c r="Q53" s="375" t="s">
        <v>308</v>
      </c>
      <c r="R53" s="389" t="e">
        <f>'[1]Duel tireur GB joueuse'!L215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joueuse'!L216</f>
        <v>#DIV/0!</v>
      </c>
    </row>
    <row r="55" spans="16:18" x14ac:dyDescent="0.35">
      <c r="P55" s="380"/>
      <c r="Q55" s="375" t="s">
        <v>22</v>
      </c>
      <c r="R55" s="389" t="e">
        <f>'[1]Duel tireur GB joueuse'!L217</f>
        <v>#DIV/0!</v>
      </c>
    </row>
    <row r="56" spans="16:18" ht="15" thickBot="1" x14ac:dyDescent="0.4">
      <c r="P56" s="381"/>
      <c r="Q56" s="143" t="s">
        <v>12</v>
      </c>
      <c r="R56" s="389" t="e">
        <f>'[1]Duel tireur GB joueuse'!L218</f>
        <v>#DIV/0!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9BF2CA-1F72-4C14-802F-1832676B3BBD}">
  <sheetPr codeName="Feuil24"/>
  <dimension ref="P3:S58"/>
  <sheetViews>
    <sheetView topLeftCell="A17" workbookViewId="0">
      <selection activeCell="M26" activeCellId="1" sqref="S1:S1048576 M26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joueuse'!K27</f>
        <v>3</v>
      </c>
    </row>
    <row r="5" spans="16:18" x14ac:dyDescent="0.35">
      <c r="P5" s="399"/>
      <c r="Q5" s="376" t="s">
        <v>282</v>
      </c>
      <c r="R5" s="374">
        <f>'[1]Duel tireur GB joueuse'!K28</f>
        <v>0</v>
      </c>
    </row>
    <row r="6" spans="16:18" x14ac:dyDescent="0.35">
      <c r="P6" s="399"/>
      <c r="Q6" s="376" t="s">
        <v>297</v>
      </c>
      <c r="R6" s="374">
        <f>'[1]Duel tireur GB joueuse'!K29</f>
        <v>0</v>
      </c>
    </row>
    <row r="7" spans="16:18" x14ac:dyDescent="0.35">
      <c r="P7" s="399"/>
      <c r="Q7" s="376" t="s">
        <v>296</v>
      </c>
      <c r="R7" s="374">
        <f>'[1]Duel tireur GB joueuse'!K30</f>
        <v>0</v>
      </c>
    </row>
    <row r="8" spans="16:18" x14ac:dyDescent="0.35">
      <c r="P8" s="399"/>
      <c r="Q8" s="376" t="s">
        <v>298</v>
      </c>
      <c r="R8" s="374">
        <f>'[1]Duel tireur GB joueuse'!K31</f>
        <v>0</v>
      </c>
    </row>
    <row r="9" spans="16:18" x14ac:dyDescent="0.35">
      <c r="P9" s="399"/>
      <c r="Q9" s="376" t="s">
        <v>283</v>
      </c>
      <c r="R9" s="374">
        <f>'[1]Duel tireur GB joueuse'!K32</f>
        <v>0</v>
      </c>
    </row>
    <row r="10" spans="16:18" x14ac:dyDescent="0.35">
      <c r="P10" s="403"/>
      <c r="Q10" s="377" t="s">
        <v>17</v>
      </c>
      <c r="R10" s="374">
        <f>'[1]Duel tireur GB joueuse'!K33</f>
        <v>0</v>
      </c>
    </row>
    <row r="11" spans="16:18" x14ac:dyDescent="0.35">
      <c r="P11" s="404" t="s">
        <v>458</v>
      </c>
      <c r="Q11" s="405"/>
      <c r="R11" s="374">
        <f>('[1]Duel tireur GB joueuse'!K34+'[1]Duel tireur GB joueuse'!K37)</f>
        <v>0</v>
      </c>
    </row>
    <row r="12" spans="16:18" x14ac:dyDescent="0.35">
      <c r="P12" s="404" t="s">
        <v>459</v>
      </c>
      <c r="Q12" s="405"/>
      <c r="R12" s="374">
        <f>('[1]Duel tireur GB joueuse'!K35+'[1]Duel tireur GB joueuse'!K38)</f>
        <v>0</v>
      </c>
    </row>
    <row r="13" spans="16:18" x14ac:dyDescent="0.35">
      <c r="P13" s="404" t="s">
        <v>460</v>
      </c>
      <c r="Q13" s="405"/>
      <c r="R13" s="374">
        <f>('[1]Duel tireur GB joueuse'!K36+'[1]Duel tireur GB joueuse'!K39)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joueuse'!K40</f>
        <v>0</v>
      </c>
    </row>
    <row r="15" spans="16:18" x14ac:dyDescent="0.35">
      <c r="P15" s="399"/>
      <c r="Q15" s="376" t="s">
        <v>308</v>
      </c>
      <c r="R15" s="374">
        <f>'[1]Duel tireur GB joueuse'!K41</f>
        <v>0</v>
      </c>
    </row>
    <row r="16" spans="16:18" ht="15" thickBot="1" x14ac:dyDescent="0.4">
      <c r="P16" s="400"/>
      <c r="Q16" s="376" t="s">
        <v>309</v>
      </c>
      <c r="R16" s="374">
        <f>'[1]Duel tireur GB joueuse'!K42</f>
        <v>0</v>
      </c>
    </row>
    <row r="17" spans="16:18" x14ac:dyDescent="0.35">
      <c r="P17" s="380"/>
      <c r="Q17" s="376" t="s">
        <v>22</v>
      </c>
      <c r="R17" s="374">
        <f>'[1]Duel tireur GB joueuse'!K43</f>
        <v>0</v>
      </c>
    </row>
    <row r="18" spans="16:18" ht="15" thickBot="1" x14ac:dyDescent="0.4">
      <c r="P18" s="381"/>
      <c r="Q18" s="382" t="s">
        <v>12</v>
      </c>
      <c r="R18" s="374">
        <f>'[1]Duel tireur GB joueuse'!K44</f>
        <v>2</v>
      </c>
    </row>
    <row r="19" spans="16:18" x14ac:dyDescent="0.35">
      <c r="Q19" s="383" t="s">
        <v>461</v>
      </c>
      <c r="R19" s="384">
        <f>SUM(R4:R18)</f>
        <v>5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joueuse'!K27/'[1]Duel tireur GB joueuse'!$K$45</f>
        <v>0.6</v>
      </c>
    </row>
    <row r="24" spans="16:18" x14ac:dyDescent="0.35">
      <c r="P24" s="399"/>
      <c r="Q24" s="376" t="s">
        <v>282</v>
      </c>
      <c r="R24" s="385">
        <f>'[1]Duel tireur GB joueuse'!K28/'[1]Duel tireur GB joueuse'!$K$45</f>
        <v>0</v>
      </c>
    </row>
    <row r="25" spans="16:18" x14ac:dyDescent="0.35">
      <c r="P25" s="399"/>
      <c r="Q25" s="376" t="s">
        <v>297</v>
      </c>
      <c r="R25" s="385">
        <f>'[1]Duel tireur GB joueuse'!K29/'[1]Duel tireur GB joueuse'!$K$45</f>
        <v>0</v>
      </c>
    </row>
    <row r="26" spans="16:18" x14ac:dyDescent="0.35">
      <c r="P26" s="399"/>
      <c r="Q26" s="376" t="s">
        <v>296</v>
      </c>
      <c r="R26" s="385">
        <f>'[1]Duel tireur GB joueuse'!K30/'[1]Duel tireur GB joueuse'!$K$45</f>
        <v>0</v>
      </c>
    </row>
    <row r="27" spans="16:18" x14ac:dyDescent="0.35">
      <c r="P27" s="399"/>
      <c r="Q27" s="376" t="s">
        <v>298</v>
      </c>
      <c r="R27" s="385">
        <f>'[1]Duel tireur GB joueuse'!K31/'[1]Duel tireur GB joueuse'!$K$45</f>
        <v>0</v>
      </c>
    </row>
    <row r="28" spans="16:18" x14ac:dyDescent="0.35">
      <c r="P28" s="399"/>
      <c r="Q28" s="376" t="s">
        <v>283</v>
      </c>
      <c r="R28" s="385">
        <f>'[1]Duel tireur GB joueuse'!K32/'[1]Duel tireur GB joueuse'!$K$45</f>
        <v>0</v>
      </c>
    </row>
    <row r="29" spans="16:18" x14ac:dyDescent="0.35">
      <c r="P29" s="403"/>
      <c r="Q29" s="377" t="s">
        <v>17</v>
      </c>
      <c r="R29" s="385">
        <f>'[1]Duel tireur GB joueuse'!K33/'[1]Duel tireur GB joueuse'!$K$45</f>
        <v>0</v>
      </c>
    </row>
    <row r="30" spans="16:18" x14ac:dyDescent="0.35">
      <c r="P30" s="404" t="s">
        <v>458</v>
      </c>
      <c r="Q30" s="405"/>
      <c r="R30" s="385">
        <f>('[1]Duel tireur GB joueuse'!K34+'[1]Duel tireur GB joueuse'!K37)/'[1]Duel tireur GB joueuse'!$K$45</f>
        <v>0</v>
      </c>
    </row>
    <row r="31" spans="16:18" x14ac:dyDescent="0.35">
      <c r="P31" s="404" t="s">
        <v>459</v>
      </c>
      <c r="Q31" s="405"/>
      <c r="R31" s="385">
        <f>('[1]Duel tireur GB joueuse'!K35+'[1]Duel tireur GB joueuse'!K38)/'[1]Duel tireur GB joueuse'!$K$45</f>
        <v>0</v>
      </c>
    </row>
    <row r="32" spans="16:18" x14ac:dyDescent="0.35">
      <c r="P32" s="404" t="s">
        <v>460</v>
      </c>
      <c r="Q32" s="405"/>
      <c r="R32" s="385">
        <f>('[1]Duel tireur GB joueuse'!K36+'[1]Duel tireur GB joueuse'!K39)/'[1]Duel tireur GB joueuse'!$K$45</f>
        <v>0</v>
      </c>
    </row>
    <row r="33" spans="16:19" x14ac:dyDescent="0.35">
      <c r="P33" s="398" t="s">
        <v>146</v>
      </c>
      <c r="Q33" s="379" t="s">
        <v>307</v>
      </c>
      <c r="R33" s="385">
        <f>'[1]Duel tireur GB joueuse'!K40/'[1]Duel tireur GB joueuse'!$K$45</f>
        <v>0</v>
      </c>
    </row>
    <row r="34" spans="16:19" x14ac:dyDescent="0.35">
      <c r="P34" s="399"/>
      <c r="Q34" s="376" t="s">
        <v>308</v>
      </c>
      <c r="R34" s="385">
        <f>'[1]Duel tireur GB joueuse'!K41/'[1]Duel tireur GB joueuse'!$K$45</f>
        <v>0</v>
      </c>
    </row>
    <row r="35" spans="16:19" ht="15" thickBot="1" x14ac:dyDescent="0.4">
      <c r="P35" s="400"/>
      <c r="Q35" s="376" t="s">
        <v>309</v>
      </c>
      <c r="R35" s="385">
        <f>'[1]Duel tireur GB joueuse'!K42/'[1]Duel tireur GB joueuse'!$K$45</f>
        <v>0</v>
      </c>
    </row>
    <row r="36" spans="16:19" x14ac:dyDescent="0.35">
      <c r="P36" s="380"/>
      <c r="Q36" s="376" t="s">
        <v>22</v>
      </c>
      <c r="R36" s="385">
        <f>'[1]Duel tireur GB joueuse'!K43/'[1]Duel tireur GB joueuse'!$K$45</f>
        <v>0</v>
      </c>
    </row>
    <row r="37" spans="16:19" ht="15" thickBot="1" x14ac:dyDescent="0.4">
      <c r="P37" s="381"/>
      <c r="Q37" s="382" t="s">
        <v>12</v>
      </c>
      <c r="R37" s="385">
        <f>'[1]Duel tireur GB joueuse'!K44/'[1]Duel tireur GB joueuse'!$K$45</f>
        <v>0.4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joueuse'!L34+'[1]Duel tireur GB joueuse'!L37)/2</f>
        <v>#DIV/0!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joueuse'!L35+'[1]Duel tireur GB joueuse'!L38)/2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joueuse'!L36+'[1]Duel tireur GB joueuse'!L39)/2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>
        <f>'[1]Duel tireur GB joueuse'!L27</f>
        <v>0.33333333333333331</v>
      </c>
    </row>
    <row r="46" spans="16:19" x14ac:dyDescent="0.35">
      <c r="P46" s="399"/>
      <c r="Q46" s="375" t="s">
        <v>282</v>
      </c>
      <c r="R46" s="388" t="e">
        <f>'[1]Duel tireur GB joueuse'!L28</f>
        <v>#DIV/0!</v>
      </c>
    </row>
    <row r="47" spans="16:19" x14ac:dyDescent="0.35">
      <c r="P47" s="399"/>
      <c r="Q47" s="375" t="s">
        <v>297</v>
      </c>
      <c r="R47" s="388" t="e">
        <f>'[1]Duel tireur GB joueuse'!L29</f>
        <v>#DIV/0!</v>
      </c>
    </row>
    <row r="48" spans="16:19" x14ac:dyDescent="0.35">
      <c r="P48" s="399"/>
      <c r="Q48" s="375" t="s">
        <v>296</v>
      </c>
      <c r="R48" s="388" t="e">
        <f>'[1]Duel tireur GB joueuse'!L30</f>
        <v>#DIV/0!</v>
      </c>
    </row>
    <row r="49" spans="16:18" x14ac:dyDescent="0.35">
      <c r="P49" s="399"/>
      <c r="Q49" s="375" t="s">
        <v>298</v>
      </c>
      <c r="R49" s="388" t="e">
        <f>'[1]Duel tireur GB joueuse'!L31</f>
        <v>#DIV/0!</v>
      </c>
    </row>
    <row r="50" spans="16:18" x14ac:dyDescent="0.35">
      <c r="P50" s="399"/>
      <c r="Q50" s="375" t="s">
        <v>283</v>
      </c>
      <c r="R50" s="388" t="e">
        <f>'[1]Duel tireur GB joueuse'!L32</f>
        <v>#DIV/0!</v>
      </c>
    </row>
    <row r="51" spans="16:18" x14ac:dyDescent="0.35">
      <c r="P51" s="403"/>
      <c r="Q51" s="352" t="s">
        <v>17</v>
      </c>
      <c r="R51" s="388" t="e">
        <f>'[1]Duel tireur GB joueuse'!L33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joueuse'!L40</f>
        <v>#DIV/0!</v>
      </c>
    </row>
    <row r="53" spans="16:18" x14ac:dyDescent="0.35">
      <c r="P53" s="399"/>
      <c r="Q53" s="375" t="s">
        <v>308</v>
      </c>
      <c r="R53" s="389" t="e">
        <f>'[1]Duel tireur GB joueuse'!L41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joueuse'!L42</f>
        <v>#DIV/0!</v>
      </c>
    </row>
    <row r="55" spans="16:18" x14ac:dyDescent="0.35">
      <c r="P55" s="380"/>
      <c r="Q55" s="375" t="s">
        <v>22</v>
      </c>
      <c r="R55" s="389" t="e">
        <f>'[1]Duel tireur GB joueuse'!L43</f>
        <v>#DIV/0!</v>
      </c>
    </row>
    <row r="56" spans="16:18" ht="15" thickBot="1" x14ac:dyDescent="0.4">
      <c r="P56" s="381"/>
      <c r="Q56" s="143" t="s">
        <v>12</v>
      </c>
      <c r="R56" s="389">
        <f>'[1]Duel tireur GB joueuse'!L44</f>
        <v>1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0B5D20-FB5B-4051-8045-D9E8A518A70C}">
  <sheetPr codeName="Feuil23"/>
  <dimension ref="P3:S58"/>
  <sheetViews>
    <sheetView topLeftCell="A17" workbookViewId="0">
      <selection activeCell="G19" sqref="G19"/>
    </sheetView>
  </sheetViews>
  <sheetFormatPr baseColWidth="10" defaultRowHeight="14.5" x14ac:dyDescent="0.35"/>
  <cols>
    <col min="3" max="3" width="21.6328125" customWidth="1"/>
    <col min="16" max="16" width="0" hidden="1" customWidth="1"/>
    <col min="17" max="17" width="20.36328125" hidden="1" customWidth="1"/>
    <col min="18" max="18" width="12.81640625" hidden="1" customWidth="1"/>
    <col min="19" max="19" width="0" hidden="1" customWidth="1"/>
  </cols>
  <sheetData>
    <row r="3" spans="16:18" ht="15" thickBot="1" x14ac:dyDescent="0.4">
      <c r="P3" s="401" t="s">
        <v>457</v>
      </c>
      <c r="Q3" s="401"/>
      <c r="R3" s="372" t="s">
        <v>326</v>
      </c>
    </row>
    <row r="4" spans="16:18" x14ac:dyDescent="0.35">
      <c r="P4" s="402" t="s">
        <v>295</v>
      </c>
      <c r="Q4" s="373" t="s">
        <v>15</v>
      </c>
      <c r="R4" s="374">
        <f>'[1]Duel tireur GB joueuse'!K3</f>
        <v>1</v>
      </c>
    </row>
    <row r="5" spans="16:18" x14ac:dyDescent="0.35">
      <c r="P5" s="399"/>
      <c r="Q5" s="376" t="s">
        <v>282</v>
      </c>
      <c r="R5" s="374">
        <f>'[1]Duel tireur GB joueuse'!K4</f>
        <v>0</v>
      </c>
    </row>
    <row r="6" spans="16:18" x14ac:dyDescent="0.35">
      <c r="P6" s="399"/>
      <c r="Q6" s="376" t="s">
        <v>297</v>
      </c>
      <c r="R6" s="374">
        <f>'[1]Duel tireur GB joueuse'!K5</f>
        <v>0</v>
      </c>
    </row>
    <row r="7" spans="16:18" x14ac:dyDescent="0.35">
      <c r="P7" s="399"/>
      <c r="Q7" s="376" t="s">
        <v>296</v>
      </c>
      <c r="R7" s="374">
        <f>'[1]Duel tireur GB joueuse'!K6</f>
        <v>0</v>
      </c>
    </row>
    <row r="8" spans="16:18" x14ac:dyDescent="0.35">
      <c r="P8" s="399"/>
      <c r="Q8" s="376" t="s">
        <v>298</v>
      </c>
      <c r="R8" s="374">
        <f>'[1]Duel tireur GB joueuse'!K7</f>
        <v>0</v>
      </c>
    </row>
    <row r="9" spans="16:18" x14ac:dyDescent="0.35">
      <c r="P9" s="399"/>
      <c r="Q9" s="376" t="s">
        <v>283</v>
      </c>
      <c r="R9" s="374">
        <f>'[1]Duel tireur GB joueuse'!K8</f>
        <v>0</v>
      </c>
    </row>
    <row r="10" spans="16:18" x14ac:dyDescent="0.35">
      <c r="P10" s="403"/>
      <c r="Q10" s="377" t="s">
        <v>17</v>
      </c>
      <c r="R10" s="374">
        <f>'[1]Duel tireur GB joueuse'!K9</f>
        <v>0</v>
      </c>
    </row>
    <row r="11" spans="16:18" x14ac:dyDescent="0.35">
      <c r="P11" s="404" t="s">
        <v>458</v>
      </c>
      <c r="Q11" s="405"/>
      <c r="R11" s="374">
        <f>('[1]Duel tireur GB joueuse'!K10+'[1]Duel tireur GB joueuse'!K13)</f>
        <v>0</v>
      </c>
    </row>
    <row r="12" spans="16:18" x14ac:dyDescent="0.35">
      <c r="P12" s="404" t="s">
        <v>459</v>
      </c>
      <c r="Q12" s="405"/>
      <c r="R12" s="374">
        <f>('[1]Duel tireur GB joueuse'!K11+'[1]Duel tireur GB joueuse'!K14)</f>
        <v>0</v>
      </c>
    </row>
    <row r="13" spans="16:18" x14ac:dyDescent="0.35">
      <c r="P13" s="404" t="s">
        <v>460</v>
      </c>
      <c r="Q13" s="405"/>
      <c r="R13" s="374">
        <f>('[1]Duel tireur GB joueuse'!K12+'[1]Duel tireur GB joueuse'!K15)</f>
        <v>0</v>
      </c>
    </row>
    <row r="14" spans="16:18" x14ac:dyDescent="0.35">
      <c r="P14" s="398" t="s">
        <v>146</v>
      </c>
      <c r="Q14" s="379" t="s">
        <v>307</v>
      </c>
      <c r="R14" s="374">
        <f>'[1]Duel tireur GB joueuse'!K16</f>
        <v>0</v>
      </c>
    </row>
    <row r="15" spans="16:18" x14ac:dyDescent="0.35">
      <c r="P15" s="399"/>
      <c r="Q15" s="376" t="s">
        <v>308</v>
      </c>
      <c r="R15" s="374">
        <f>'[1]Duel tireur GB joueuse'!K17</f>
        <v>0</v>
      </c>
    </row>
    <row r="16" spans="16:18" ht="15" thickBot="1" x14ac:dyDescent="0.4">
      <c r="P16" s="400"/>
      <c r="Q16" s="376" t="s">
        <v>309</v>
      </c>
      <c r="R16" s="374">
        <f>'[1]Duel tireur GB joueuse'!K18</f>
        <v>0</v>
      </c>
    </row>
    <row r="17" spans="16:18" x14ac:dyDescent="0.35">
      <c r="P17" s="380"/>
      <c r="Q17" s="376" t="s">
        <v>22</v>
      </c>
      <c r="R17" s="374">
        <f>'[1]Duel tireur GB joueuse'!K19</f>
        <v>0</v>
      </c>
    </row>
    <row r="18" spans="16:18" ht="15" thickBot="1" x14ac:dyDescent="0.4">
      <c r="P18" s="381"/>
      <c r="Q18" s="382" t="s">
        <v>12</v>
      </c>
      <c r="R18" s="374">
        <f>'[1]Duel tireur GB joueuse'!K20</f>
        <v>2</v>
      </c>
    </row>
    <row r="19" spans="16:18" x14ac:dyDescent="0.35">
      <c r="Q19" s="383" t="s">
        <v>461</v>
      </c>
      <c r="R19" s="384">
        <f>SUM(R4:R18)</f>
        <v>3</v>
      </c>
    </row>
    <row r="22" spans="16:18" ht="15" thickBot="1" x14ac:dyDescent="0.4">
      <c r="P22" s="401" t="s">
        <v>462</v>
      </c>
      <c r="Q22" s="401"/>
      <c r="R22" s="372" t="s">
        <v>463</v>
      </c>
    </row>
    <row r="23" spans="16:18" x14ac:dyDescent="0.35">
      <c r="P23" s="402" t="s">
        <v>295</v>
      </c>
      <c r="Q23" s="373" t="s">
        <v>15</v>
      </c>
      <c r="R23" s="385">
        <f>'[1]Duel tireur GB joueuse'!K3/'[1]Duel tireur GB joueuse'!$K$21</f>
        <v>0.33333333333333331</v>
      </c>
    </row>
    <row r="24" spans="16:18" x14ac:dyDescent="0.35">
      <c r="P24" s="399"/>
      <c r="Q24" s="376" t="s">
        <v>282</v>
      </c>
      <c r="R24" s="385">
        <f>'[1]Duel tireur GB joueuse'!K4/'[1]Duel tireur GB joueuse'!$K$21</f>
        <v>0</v>
      </c>
    </row>
    <row r="25" spans="16:18" x14ac:dyDescent="0.35">
      <c r="P25" s="399"/>
      <c r="Q25" s="376" t="s">
        <v>297</v>
      </c>
      <c r="R25" s="385">
        <f>'[1]Duel tireur GB joueuse'!K5/'[1]Duel tireur GB joueuse'!$K$21</f>
        <v>0</v>
      </c>
    </row>
    <row r="26" spans="16:18" x14ac:dyDescent="0.35">
      <c r="P26" s="399"/>
      <c r="Q26" s="376" t="s">
        <v>296</v>
      </c>
      <c r="R26" s="385">
        <f>'[1]Duel tireur GB joueuse'!K6/'[1]Duel tireur GB joueuse'!$K$21</f>
        <v>0</v>
      </c>
    </row>
    <row r="27" spans="16:18" x14ac:dyDescent="0.35">
      <c r="P27" s="399"/>
      <c r="Q27" s="376" t="s">
        <v>298</v>
      </c>
      <c r="R27" s="385">
        <f>'[1]Duel tireur GB joueuse'!K7/'[1]Duel tireur GB joueuse'!$K$21</f>
        <v>0</v>
      </c>
    </row>
    <row r="28" spans="16:18" x14ac:dyDescent="0.35">
      <c r="P28" s="399"/>
      <c r="Q28" s="376" t="s">
        <v>283</v>
      </c>
      <c r="R28" s="385">
        <f>'[1]Duel tireur GB joueuse'!K8/'[1]Duel tireur GB joueuse'!$K$21</f>
        <v>0</v>
      </c>
    </row>
    <row r="29" spans="16:18" x14ac:dyDescent="0.35">
      <c r="P29" s="403"/>
      <c r="Q29" s="377" t="s">
        <v>17</v>
      </c>
      <c r="R29" s="385">
        <f>'[1]Duel tireur GB joueuse'!K9/'[1]Duel tireur GB joueuse'!$K$21</f>
        <v>0</v>
      </c>
    </row>
    <row r="30" spans="16:18" x14ac:dyDescent="0.35">
      <c r="P30" s="404" t="s">
        <v>458</v>
      </c>
      <c r="Q30" s="405"/>
      <c r="R30" s="385">
        <f>('[1]Duel tireur GB joueuse'!K10+'[1]Duel tireur GB joueuse'!K13)/'[1]Duel tireur GB joueuse'!$K$21</f>
        <v>0</v>
      </c>
    </row>
    <row r="31" spans="16:18" x14ac:dyDescent="0.35">
      <c r="P31" s="404" t="s">
        <v>459</v>
      </c>
      <c r="Q31" s="405"/>
      <c r="R31" s="385">
        <f>('[1]Duel tireur GB joueuse'!K11+'[1]Duel tireur GB joueuse'!K14)/'[1]Duel tireur GB joueuse'!$K$21</f>
        <v>0</v>
      </c>
    </row>
    <row r="32" spans="16:18" x14ac:dyDescent="0.35">
      <c r="P32" s="404" t="s">
        <v>460</v>
      </c>
      <c r="Q32" s="405"/>
      <c r="R32" s="385">
        <f>('[1]Duel tireur GB joueuse'!K12+'[1]Duel tireur GB joueuse'!K15)/'[1]Duel tireur GB joueuse'!$K$21</f>
        <v>0</v>
      </c>
    </row>
    <row r="33" spans="16:19" x14ac:dyDescent="0.35">
      <c r="P33" s="398" t="s">
        <v>146</v>
      </c>
      <c r="Q33" s="379" t="s">
        <v>307</v>
      </c>
      <c r="R33" s="385">
        <f>'[1]Duel tireur GB joueuse'!K16/'[1]Duel tireur GB joueuse'!$K$21</f>
        <v>0</v>
      </c>
    </row>
    <row r="34" spans="16:19" x14ac:dyDescent="0.35">
      <c r="P34" s="399"/>
      <c r="Q34" s="376" t="s">
        <v>308</v>
      </c>
      <c r="R34" s="385">
        <f>'[1]Duel tireur GB joueuse'!K17/'[1]Duel tireur GB joueuse'!$K$21</f>
        <v>0</v>
      </c>
    </row>
    <row r="35" spans="16:19" ht="15" thickBot="1" x14ac:dyDescent="0.4">
      <c r="P35" s="400"/>
      <c r="Q35" s="376" t="s">
        <v>309</v>
      </c>
      <c r="R35" s="385">
        <f>'[1]Duel tireur GB joueuse'!K18/'[1]Duel tireur GB joueuse'!$K$21</f>
        <v>0</v>
      </c>
    </row>
    <row r="36" spans="16:19" x14ac:dyDescent="0.35">
      <c r="P36" s="380"/>
      <c r="Q36" s="376" t="s">
        <v>22</v>
      </c>
      <c r="R36" s="385">
        <f>'[1]Duel tireur GB joueuse'!K19/'[1]Duel tireur GB joueuse'!$K$21</f>
        <v>0</v>
      </c>
    </row>
    <row r="37" spans="16:19" ht="15" thickBot="1" x14ac:dyDescent="0.4">
      <c r="P37" s="381"/>
      <c r="Q37" s="382" t="s">
        <v>12</v>
      </c>
      <c r="R37" s="385">
        <f>'[1]Duel tireur GB joueuse'!K20/'[1]Duel tireur GB joueuse'!$K$21</f>
        <v>0.66666666666666663</v>
      </c>
    </row>
    <row r="38" spans="16:19" x14ac:dyDescent="0.35">
      <c r="Q38" s="383" t="s">
        <v>461</v>
      </c>
      <c r="R38" s="386">
        <f>SUM(R23:R37)</f>
        <v>1</v>
      </c>
    </row>
    <row r="41" spans="16:19" ht="15" thickBot="1" x14ac:dyDescent="0.4">
      <c r="P41" s="406" t="s">
        <v>464</v>
      </c>
      <c r="Q41" s="406"/>
      <c r="R41" s="125"/>
    </row>
    <row r="42" spans="16:19" ht="15" thickBot="1" x14ac:dyDescent="0.4">
      <c r="P42" s="407" t="s">
        <v>458</v>
      </c>
      <c r="Q42" s="408"/>
      <c r="R42" s="394" t="e">
        <f>('[1]Duel tireur GB joueuse'!L10+'[1]Duel tireur GB joueuse'!L13)/2</f>
        <v>#DIV/0!</v>
      </c>
      <c r="S42" s="409" t="s">
        <v>465</v>
      </c>
    </row>
    <row r="43" spans="16:19" ht="15" thickBot="1" x14ac:dyDescent="0.4">
      <c r="P43" s="404" t="s">
        <v>459</v>
      </c>
      <c r="Q43" s="410"/>
      <c r="R43" s="394" t="e">
        <f>('[1]Duel tireur GB joueuse'!L11+'[1]Duel tireur GB joueuse'!L14)/2</f>
        <v>#DIV/0!</v>
      </c>
      <c r="S43" s="409"/>
    </row>
    <row r="44" spans="16:19" x14ac:dyDescent="0.35">
      <c r="P44" s="404" t="s">
        <v>460</v>
      </c>
      <c r="Q44" s="410"/>
      <c r="R44" s="394" t="e">
        <f>('[1]Duel tireur GB joueuse'!L12+'[1]Duel tireur GB joueuse'!L15)/2</f>
        <v>#DIV/0!</v>
      </c>
      <c r="S44" s="409"/>
    </row>
    <row r="45" spans="16:19" x14ac:dyDescent="0.35">
      <c r="P45" s="398" t="s">
        <v>295</v>
      </c>
      <c r="Q45" s="378" t="s">
        <v>15</v>
      </c>
      <c r="R45" s="388">
        <f>'[1]Duel tireur GB joueuse'!L3</f>
        <v>0</v>
      </c>
    </row>
    <row r="46" spans="16:19" x14ac:dyDescent="0.35">
      <c r="P46" s="399"/>
      <c r="Q46" s="375" t="s">
        <v>282</v>
      </c>
      <c r="R46" s="388" t="e">
        <f>'[1]Duel tireur GB joueuse'!L4</f>
        <v>#DIV/0!</v>
      </c>
    </row>
    <row r="47" spans="16:19" x14ac:dyDescent="0.35">
      <c r="P47" s="399"/>
      <c r="Q47" s="375" t="s">
        <v>297</v>
      </c>
      <c r="R47" s="388" t="e">
        <f>'[1]Duel tireur GB joueuse'!L5</f>
        <v>#DIV/0!</v>
      </c>
    </row>
    <row r="48" spans="16:19" x14ac:dyDescent="0.35">
      <c r="P48" s="399"/>
      <c r="Q48" s="375" t="s">
        <v>296</v>
      </c>
      <c r="R48" s="388" t="e">
        <f>'[1]Duel tireur GB joueuse'!L6</f>
        <v>#DIV/0!</v>
      </c>
    </row>
    <row r="49" spans="16:18" x14ac:dyDescent="0.35">
      <c r="P49" s="399"/>
      <c r="Q49" s="375" t="s">
        <v>298</v>
      </c>
      <c r="R49" s="388" t="e">
        <f>'[1]Duel tireur GB joueuse'!L7</f>
        <v>#DIV/0!</v>
      </c>
    </row>
    <row r="50" spans="16:18" x14ac:dyDescent="0.35">
      <c r="P50" s="399"/>
      <c r="Q50" s="375" t="s">
        <v>283</v>
      </c>
      <c r="R50" s="388" t="e">
        <f>'[1]Duel tireur GB joueuse'!L8</f>
        <v>#DIV/0!</v>
      </c>
    </row>
    <row r="51" spans="16:18" x14ac:dyDescent="0.35">
      <c r="P51" s="403"/>
      <c r="Q51" s="352" t="s">
        <v>17</v>
      </c>
      <c r="R51" s="388" t="e">
        <f>'[1]Duel tireur GB joueuse'!L9</f>
        <v>#DIV/0!</v>
      </c>
    </row>
    <row r="52" spans="16:18" x14ac:dyDescent="0.35">
      <c r="P52" s="398" t="s">
        <v>146</v>
      </c>
      <c r="Q52" s="378" t="s">
        <v>307</v>
      </c>
      <c r="R52" s="389" t="e">
        <f>'[1]Duel tireur GB joueuse'!L16</f>
        <v>#DIV/0!</v>
      </c>
    </row>
    <row r="53" spans="16:18" x14ac:dyDescent="0.35">
      <c r="P53" s="399"/>
      <c r="Q53" s="375" t="s">
        <v>308</v>
      </c>
      <c r="R53" s="389" t="e">
        <f>'[1]Duel tireur GB joueuse'!L17</f>
        <v>#DIV/0!</v>
      </c>
    </row>
    <row r="54" spans="16:18" ht="15" thickBot="1" x14ac:dyDescent="0.4">
      <c r="P54" s="400"/>
      <c r="Q54" s="375" t="s">
        <v>309</v>
      </c>
      <c r="R54" s="389" t="e">
        <f>'[1]Duel tireur GB joueuse'!L18</f>
        <v>#DIV/0!</v>
      </c>
    </row>
    <row r="55" spans="16:18" x14ac:dyDescent="0.35">
      <c r="P55" s="380"/>
      <c r="Q55" s="375" t="s">
        <v>22</v>
      </c>
      <c r="R55" s="389" t="e">
        <f>'[1]Duel tireur GB joueuse'!L19</f>
        <v>#DIV/0!</v>
      </c>
    </row>
    <row r="56" spans="16:18" ht="15" thickBot="1" x14ac:dyDescent="0.4">
      <c r="P56" s="381"/>
      <c r="Q56" s="143" t="s">
        <v>12</v>
      </c>
      <c r="R56" s="389">
        <f>'[1]Duel tireur GB joueuse'!L20</f>
        <v>1</v>
      </c>
    </row>
    <row r="57" spans="16:18" x14ac:dyDescent="0.35">
      <c r="Q57" s="341"/>
      <c r="R57" s="390"/>
    </row>
    <row r="58" spans="16:18" x14ac:dyDescent="0.35">
      <c r="R58" s="390"/>
    </row>
  </sheetData>
  <mergeCells count="19">
    <mergeCell ref="P52:P54"/>
    <mergeCell ref="P41:Q41"/>
    <mergeCell ref="P42:Q42"/>
    <mergeCell ref="S42:S44"/>
    <mergeCell ref="P43:Q43"/>
    <mergeCell ref="P44:Q44"/>
    <mergeCell ref="P45:P51"/>
    <mergeCell ref="P33:P35"/>
    <mergeCell ref="P3:Q3"/>
    <mergeCell ref="P4:P10"/>
    <mergeCell ref="P11:Q11"/>
    <mergeCell ref="P12:Q12"/>
    <mergeCell ref="P13:Q13"/>
    <mergeCell ref="P14:P16"/>
    <mergeCell ref="P22:Q22"/>
    <mergeCell ref="P23:P29"/>
    <mergeCell ref="P30:Q30"/>
    <mergeCell ref="P31:Q31"/>
    <mergeCell ref="P32:Q32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  s t a n d a l o n e = " n o " ? > < D a t a M a s h u p   x m l n s = " h t t p : / / s c h e m a s . m i c r o s o f t . c o m / D a t a M a s h u p " > A A A A A P Y G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c R o y P a 4 A A A D 4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1 T M 0 M D L X M 7 D R h 4 n a + G b m I V Q Y A V 0 M k k U S t H E u z S k p L U q 1 S y v S d Q u y 0 Y d x b f S h n r A D A A A A / / 8 D A F B L A w Q U A A I A C A A A A C E A P d W n K w Q C A A A C B Q A A E w A A A E Z v c m 1 1 b G F z L 1 N l Y 3 R p b 2 4 x L m 2 E k s F u 2 k A Q h u 9 I e Y e R c y G q g 0 B K a N X I B w K 0 a V V F F N N T 6 G F j h m b b 9 S 7 d m Y 0 S I R 6 I v g Y v 1 l 1 I Y x O 7 w Q f b O 7 M 7 O / P / H 2 H G 0 m h I d 9 / O R a N B d 8 L i D I 6 j l A U T 3 F r n 3 y K X m V B w B m n v 6 h J S R q V E B A k o 5 K M G + C c 1 z m b o I 3 2 6 b w 1 M 5 n L U 3 P w g F b b 6 R r N f U D P q v 5 9 + I 7 Q 0 / e m U x O k A 6 R e b x b R X U 3 x 6 6 P Z W R v f R S X w z Q C V z y W i T K I 5 i 6 B v l c k 1 J 5 1 0 M Q 5 2 Z m d Q / k u 5 5 u 9 2 J 4 a s z j C k / K k y K 3 9 a 1 0 f j 9 J N 6 N c R w N 9 S l v / j A S L K z J H Y U p J + L W b x z 5 t T 9 1 h W L m Z 2 j u J o 7 h 5 i n e U y r 1 X Q p L C V t X L j l 5 X C D k v p W 5 3 K y L e h M r N M 2 N z X c 9 h 1 3 U r G k g X i 6 j a 5 P 7 4 T g U Y n z g V Q z L a G R I B t N 8 4 p P m 7 l k r V N h m B s 5 u 1 l g T 3 6 z n q A m p U u u z c e j q E u P N m p w K X l R S g R l 0 t q Y Y e s 9 m C G + r P f e Y x W 8 X Z l M i 8 z 1 W D 3 v T F O r s D g N A B O 1 u Z c c X i Q 5 G l 4 d O d i G D 8 8 q m j 1 7 0 G Q x p I T K s J I M + c F o f f n P o P g 5 2 b g 2 B 4 b h q l i A v L w y q A u N C y b 3 o q i D H k 2 G 0 D n K h z R 1 v B X v m Z 4 z G e h K f i G + + 5 C z + R 0 0 Z l A K N W i v K H O x b X 3 Z 7 j 6 O X i j 4 P V O v k P h u F s o X 0 / 7 O x r G A J g d d d W J 0 c N a R + T c 2 L v w A A A P / / A w B Q S w E C L Q A U A A Y A C A A A A C E A K t 2 q Q N I A A A A 3 A Q A A E w A A A A A A A A A A A A A A A A A A A A A A W 0 N v b n R l b n R f V H l w Z X N d L n h t b F B L A Q I t A B Q A A g A I A A A A I Q B x G j I 9 r g A A A P g A A A A S A A A A A A A A A A A A A A A A A A s D A A B D b 2 5 m a W c v U G F j a 2 F n Z S 5 4 b W x Q S w E C L Q A U A A I A C A A A A C E A P d W n K w Q C A A A C B Q A A E w A A A A A A A A A A A A A A A A D p A w A A R m 9 y b X V s Y X M v U 2 V j d G l v b j E u b V B L B Q Y A A A A A A w A D A M I A A A A e B g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h c A A A A A A A D 8 F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0 Y X R z J T I w Y n J 1 d H M l M j B h b W l j Y W w l M j A 0 J T I w U 0 F I Q i U y M F N 0 Z W x s Y T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g t M j V U M T M 6 N T k 6 M D E u N D c 2 M D E 5 M F o i L z 4 8 R W 5 0 c n k g V H l w Z T 0 i R m l s b E N v b H V t b l R 5 c G V z I i B W Y W x 1 Z T 0 i c 0 J n T U R C Z 1 l H Q m d Z R 0 J n W U d C Z 1 l H Q m d Z R y I v P j x F b n R y e S B U e X B l P S J G a W x s Q 2 9 s d W 1 u T m F t Z X M i I F Z h b H V l P S J z W y Z x d W 9 0 O 0 5 v b S Z x d W 9 0 O y w m c X V v d D t Q b 3 N p d G l v b i Z x d W 9 0 O y w m c X V v d D t E d X L D q W U m c X V v d D s s J n F 1 b 3 Q 7 Q X R 0 Y X F 1 Z X M g c G x h Y 8 O p Z X M m c X V v d D s s J n F 1 b 3 Q 7 S m 9 1 Z X V z Z X M m c X V v d D s s J n F 1 b 3 Q 7 U s O p c 3 V s d G F 0 c y Z x d W 9 0 O y w m c X V v d D t T Z W N 0 Z X V y c y Z x d W 9 0 O y w m c X V v d D t E w 6 l m Z W 5 z Z X M m c X V v d D s s J n F 1 b 3 Q 7 R 3 J h b m Q g R X N w Y W N l J n F 1 b 3 Q 7 L C Z x d W 9 0 O 1 J l c G x p J n F 1 b 3 Q 7 L C Z x d W 9 0 O 0 V u Y 2 x l b m N o Z W 1 l b n R z I D A 2 J n F 1 b 3 Q 7 L C Z x d W 9 0 O 0 p l d H M g Z G U g N 2 0 m c X V v d D s s J n F 1 b 3 Q 7 R M O p Z i A r J n F 1 b 3 Q 7 L C Z x d W 9 0 O 0 T D q W Y g L S Z x d W 9 0 O y w m c X V v d D t F b m N s Z W 5 j a G V t Z W 5 0 c y A 2 I G M g N S Z x d W 9 0 O y w m c X V v d D t Q Y X N z Z X M g R C Z x d W 9 0 O y w m c X V v d D t M a W V 1 I F B C J n F 1 b 3 Q 7 L C Z x d W 9 0 O 0 V u Y 2 x l b m N o Z W 1 l b n R z I H R y Y W 5 z a X R p b 2 4 g R V I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2 Z l M T Q y N T U x L T N i Z W I t N G Q 3 Z S 1 i N z Z i L W Q x Z D g w Y T A 0 M T F k Z i I v P j x F b n R y e S B U e X B l P S J S Z W x h d G l v b n N o a X B J b m Z v Q 2 9 u d G F p b m V y I i B W Y W x 1 Z T 0 i c 3 s m c X V v d D t j b 2 x 1 b W 5 D b 3 V u d C Z x d W 9 0 O z o x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3 R h d H M g Y n J 1 d H M g Y W 1 p Y 2 F s I D Q g U 0 F I Q i B T d G V s b G E v V H l w Z S B t b 2 R p Z m n D q S 5 7 T m 9 t L D B 9 J n F 1 b 3 Q 7 L C Z x d W 9 0 O 1 N l Y 3 R p b 2 4 x L 1 N 0 Y X R z I G J y d X R z I G F t a W N h b C A 0 I F N B S E I g U 3 R l b G x h L 1 R 5 c G U g b W 9 k a W Z p w 6 k u e 1 B v c 2 l 0 a W 9 u L D F 9 J n F 1 b 3 Q 7 L C Z x d W 9 0 O 1 N l Y 3 R p b 2 4 x L 1 N 0 Y X R z I G J y d X R z I G F t a W N h b C A 0 I F N B S E I g U 3 R l b G x h L 1 R 5 c G U g b W 9 k a W Z p w 6 k u e 0 R 1 c s O p Z S w y f S Z x d W 9 0 O y w m c X V v d D t T Z W N 0 a W 9 u M S 9 T d G F 0 c y B i c n V 0 c y B h b W l j Y W w g N C B T Q U h C I F N 0 Z W x s Y S 9 U e X B l I G 1 v Z G l m a c O p L n t B d H R h c X V l c y B w b G F j w 6 l l c y w 4 f S Z x d W 9 0 O y w m c X V v d D t T Z W N 0 a W 9 u M S 9 T d G F 0 c y B i c n V 0 c y B h b W l j Y W w g N C B T Q U h C I F N 0 Z W x s Y S 9 U e X B l I G 1 v Z G l m a c O p L n t K b 3 V l d X N l c y w 0 f S Z x d W 9 0 O y w m c X V v d D t T Z W N 0 a W 9 u M S 9 T d G F 0 c y B i c n V 0 c y B h b W l j Y W w g N C B T Q U h C I F N 0 Z W x s Y S 9 U e X B l I G 1 v Z G l m a c O p L n t S w 6 l z d W x 0 Y X R z L D V 9 J n F 1 b 3 Q 7 L C Z x d W 9 0 O 1 N l Y 3 R p b 2 4 x L 1 N 0 Y X R z I G J y d X R z I G F t a W N h b C A 0 I F N B S E I g U 3 R l b G x h L 1 R 5 c G U g b W 9 k a W Z p w 6 k u e 1 N l Y 3 R l d X J z L D Z 9 J n F 1 b 3 Q 7 L C Z x d W 9 0 O 1 N l Y 3 R p b 2 4 x L 1 N 0 Y X R z I G J y d X R z I G F t a W N h b C A 0 I F N B S E I g U 3 R l b G x h L 1 R 5 c G U g b W 9 k a W Z p w 6 k u e 0 T D q W Z l b n N l c y w z f S Z x d W 9 0 O y w m c X V v d D t T Z W N 0 a W 9 u M S 9 T d G F 0 c y B i c n V 0 c y B h b W l j Y W w g N C B T Q U h C I F N 0 Z W x s Y S 9 U e X B l I G 1 v Z G l m a c O p L n t H c m F u Z C B F c 3 B h Y 2 U s M T J 9 J n F 1 b 3 Q 7 L C Z x d W 9 0 O 1 N l Y 3 R p b 2 4 x L 1 N 0 Y X R z I G J y d X R z I G F t a W N h b C A 0 I F N B S E I g U 3 R l b G x h L 1 R 5 c G U g b W 9 k a W Z p w 6 k u e 1 J l c G x p L D E 3 f S Z x d W 9 0 O y w m c X V v d D t T Z W N 0 a W 9 u M S 9 T d G F 0 c y B i c n V 0 c y B h b W l j Y W w g N C B T Q U h C I F N 0 Z W x s Y S 9 U e X B l I G 1 v Z G l m a c O p L n t F b m N s Z W 5 j a G V t Z W 5 0 c y A w N i w 5 f S Z x d W 9 0 O y w m c X V v d D t T Z W N 0 a W 9 u M S 9 T d G F 0 c y B i c n V 0 c y B h b W l j Y W w g N C B T Q U h C I F N 0 Z W x s Y S 9 U e X B l I G 1 v Z G l m a c O p L n t K Z X R z I G R l I D d t L D d 9 J n F 1 b 3 Q 7 L C Z x d W 9 0 O 1 N l Y 3 R p b 2 4 x L 1 N 0 Y X R z I G J y d X R z I G F t a W N h b C A 0 I F N B S E I g U 3 R l b G x h L 1 R 5 c G U g b W 9 k a W Z p w 6 k u e 0 T D q W Y g K y w x N H 0 m c X V v d D s s J n F 1 b 3 Q 7 U 2 V j d G l v b j E v U 3 R h d H M g Y n J 1 d H M g Y W 1 p Y 2 F s I D Q g U 0 F I Q i B T d G V s b G E v V H l w Z S B t b 2 R p Z m n D q S 5 7 R M O p Z i A t L D E z f S Z x d W 9 0 O y w m c X V v d D t T Z W N 0 a W 9 u M S 9 T d G F 0 c y B i c n V 0 c y B h b W l j Y W w g N C B T Q U h C I F N 0 Z W x s Y S 9 U e X B l I G 1 v Z G l m a c O p L n t F b m N s Z W 5 j a G V t Z W 5 0 c y A 2 I G M g N S w x M X 0 m c X V v d D s s J n F 1 b 3 Q 7 U 2 V j d G l v b j E v U 3 R h d H M g Y n J 1 d H M g Y W 1 p Y 2 F s I D Q g U 0 F I Q i B T d G V s b G E v V H l w Z S B t b 2 R p Z m n D q S 5 7 U G F z c 2 V z I E Q s M T Z 9 J n F 1 b 3 Q 7 L C Z x d W 9 0 O 1 N l Y 3 R p b 2 4 x L 1 N 0 Y X R z I G J y d X R z I G F t a W N h b C A 0 I F N B S E I g U 3 R l b G x h L 1 R 5 c G U g b W 9 k a W Z p w 6 k u e 0 x p Z X U g U E I s M T B 9 J n F 1 b 3 Q 7 L C Z x d W 9 0 O 1 N l Y 3 R p b 2 4 x L 1 N 0 Y X R z I G J y d X R z I G F t a W N h b C A 0 I F N B S E I g U 3 R l b G x h L 1 R 5 c G U g b W 9 k a W Z p w 6 k u e 0 V u Y 2 x l b m N o Z W 1 l b n R z I H R y Y W 5 z a X R p b 2 4 g R V I s M T V 9 J n F 1 b 3 Q 7 X S w m c X V v d D t D b 2 x 1 b W 5 D b 3 V u d C Z x d W 9 0 O z o x O C w m c X V v d D t L Z X l D b 2 x 1 b W 5 O Y W 1 l c y Z x d W 9 0 O z p b X S w m c X V v d D t D b 2 x 1 b W 5 J Z G V u d G l 0 a W V z J n F 1 b 3 Q 7 O l s m c X V v d D t T Z W N 0 a W 9 u M S 9 T d G F 0 c y B i c n V 0 c y B h b W l j Y W w g N C B T Q U h C I F N 0 Z W x s Y S 9 U e X B l I G 1 v Z G l m a c O p L n t O b 2 0 s M H 0 m c X V v d D s s J n F 1 b 3 Q 7 U 2 V j d G l v b j E v U 3 R h d H M g Y n J 1 d H M g Y W 1 p Y 2 F s I D Q g U 0 F I Q i B T d G V s b G E v V H l w Z S B t b 2 R p Z m n D q S 5 7 U G 9 z a X R p b 2 4 s M X 0 m c X V v d D s s J n F 1 b 3 Q 7 U 2 V j d G l v b j E v U 3 R h d H M g Y n J 1 d H M g Y W 1 p Y 2 F s I D Q g U 0 F I Q i B T d G V s b G E v V H l w Z S B t b 2 R p Z m n D q S 5 7 R H V y w 6 l l L D J 9 J n F 1 b 3 Q 7 L C Z x d W 9 0 O 1 N l Y 3 R p b 2 4 x L 1 N 0 Y X R z I G J y d X R z I G F t a W N h b C A 0 I F N B S E I g U 3 R l b G x h L 1 R 5 c G U g b W 9 k a W Z p w 6 k u e 0 F 0 d G F x d W V z I H B s Y W P D q W V z L D h 9 J n F 1 b 3 Q 7 L C Z x d W 9 0 O 1 N l Y 3 R p b 2 4 x L 1 N 0 Y X R z I G J y d X R z I G F t a W N h b C A 0 I F N B S E I g U 3 R l b G x h L 1 R 5 c G U g b W 9 k a W Z p w 6 k u e 0 p v d W V 1 c 2 V z L D R 9 J n F 1 b 3 Q 7 L C Z x d W 9 0 O 1 N l Y 3 R p b 2 4 x L 1 N 0 Y X R z I G J y d X R z I G F t a W N h b C A 0 I F N B S E I g U 3 R l b G x h L 1 R 5 c G U g b W 9 k a W Z p w 6 k u e 1 L D q X N 1 b H R h d H M s N X 0 m c X V v d D s s J n F 1 b 3 Q 7 U 2 V j d G l v b j E v U 3 R h d H M g Y n J 1 d H M g Y W 1 p Y 2 F s I D Q g U 0 F I Q i B T d G V s b G E v V H l w Z S B t b 2 R p Z m n D q S 5 7 U 2 V j d G V 1 c n M s N n 0 m c X V v d D s s J n F 1 b 3 Q 7 U 2 V j d G l v b j E v U 3 R h d H M g Y n J 1 d H M g Y W 1 p Y 2 F s I D Q g U 0 F I Q i B T d G V s b G E v V H l w Z S B t b 2 R p Z m n D q S 5 7 R M O p Z m V u c 2 V z L D N 9 J n F 1 b 3 Q 7 L C Z x d W 9 0 O 1 N l Y 3 R p b 2 4 x L 1 N 0 Y X R z I G J y d X R z I G F t a W N h b C A 0 I F N B S E I g U 3 R l b G x h L 1 R 5 c G U g b W 9 k a W Z p w 6 k u e 0 d y Y W 5 k I E V z c G F j Z S w x M n 0 m c X V v d D s s J n F 1 b 3 Q 7 U 2 V j d G l v b j E v U 3 R h d H M g Y n J 1 d H M g Y W 1 p Y 2 F s I D Q g U 0 F I Q i B T d G V s b G E v V H l w Z S B t b 2 R p Z m n D q S 5 7 U m V w b G k s M T d 9 J n F 1 b 3 Q 7 L C Z x d W 9 0 O 1 N l Y 3 R p b 2 4 x L 1 N 0 Y X R z I G J y d X R z I G F t a W N h b C A 0 I F N B S E I g U 3 R l b G x h L 1 R 5 c G U g b W 9 k a W Z p w 6 k u e 0 V u Y 2 x l b m N o Z W 1 l b n R z I D A 2 L D l 9 J n F 1 b 3 Q 7 L C Z x d W 9 0 O 1 N l Y 3 R p b 2 4 x L 1 N 0 Y X R z I G J y d X R z I G F t a W N h b C A 0 I F N B S E I g U 3 R l b G x h L 1 R 5 c G U g b W 9 k a W Z p w 6 k u e 0 p l d H M g Z G U g N 2 0 s N 3 0 m c X V v d D s s J n F 1 b 3 Q 7 U 2 V j d G l v b j E v U 3 R h d H M g Y n J 1 d H M g Y W 1 p Y 2 F s I D Q g U 0 F I Q i B T d G V s b G E v V H l w Z S B t b 2 R p Z m n D q S 5 7 R M O p Z i A r L D E 0 f S Z x d W 9 0 O y w m c X V v d D t T Z W N 0 a W 9 u M S 9 T d G F 0 c y B i c n V 0 c y B h b W l j Y W w g N C B T Q U h C I F N 0 Z W x s Y S 9 U e X B l I G 1 v Z G l m a c O p L n t E w 6 l m I C 0 s M T N 9 J n F 1 b 3 Q 7 L C Z x d W 9 0 O 1 N l Y 3 R p b 2 4 x L 1 N 0 Y X R z I G J y d X R z I G F t a W N h b C A 0 I F N B S E I g U 3 R l b G x h L 1 R 5 c G U g b W 9 k a W Z p w 6 k u e 0 V u Y 2 x l b m N o Z W 1 l b n R z I D Y g Y y A 1 L D E x f S Z x d W 9 0 O y w m c X V v d D t T Z W N 0 a W 9 u M S 9 T d G F 0 c y B i c n V 0 c y B h b W l j Y W w g N C B T Q U h C I F N 0 Z W x s Y S 9 U e X B l I G 1 v Z G l m a c O p L n t Q Y X N z Z X M g R C w x N n 0 m c X V v d D s s J n F 1 b 3 Q 7 U 2 V j d G l v b j E v U 3 R h d H M g Y n J 1 d H M g Y W 1 p Y 2 F s I D Q g U 0 F I Q i B T d G V s b G E v V H l w Z S B t b 2 R p Z m n D q S 5 7 T G l l d S B Q Q i w x M H 0 m c X V v d D s s J n F 1 b 3 Q 7 U 2 V j d G l v b j E v U 3 R h d H M g Y n J 1 d H M g Y W 1 p Y 2 F s I D Q g U 0 F I Q i B T d G V s b G E v V H l w Z S B t b 2 R p Z m n D q S 5 7 R W 5 j b G V u Y 2 h l b W V u d H M g d H J h b n N p d G l v b i B F U i w x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0 Y X R z J T I w Y n J 1 d H M l M j B h b W l j Y W w l M j A 0 J T I w U 0 F I Q i U y M F N 0 Z W x s Y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N 0 Y X R z J T I w Y n J 1 d H M l M j B h b W l j Y W w l M j A 0 J T I w U 0 F I Q i U y M F N 0 Z W x s Y S 9 F b i 1 0 J U M z J U F B d G V z J T I w c H J v b X V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T d G F 0 c y U y M G J y d X R z J T I w Y W 1 p Y 2 F s J T I w N C U y M F N B S E I l M j B T d G V s b G E v V H l w Z S U y M G 1 v Z G l m a S V D M y V B O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3 R h d H M l M j B i c n V 0 c y U y M G F t a W N h b C U y M D Q l M j B T Q U h C J T I w U 3 R l b G x h L 0 N v b G 9 u b m V z J T I w c G V y b X V 0 J U M z J U E 5 Z X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M o S 5 E 6 1 l 6 Z J n 7 K / i 1 m t T h o A A A A A A g A A A A A A E G Y A A A A B A A A g A A A A / N P 7 3 f A / N n a D p f N Q t p V K k 1 F G F 1 u L h e j X J N 6 y V 2 Q m m X s A A A A A D o A A A A A C A A A g A A A A a P B Q H X P x 1 E W B w V P g C U T h v l f t 2 B I Z J u P / Y b 0 H w J t D 8 P x Q A A A A R q l P Q g f G z l W G 1 9 D + W 1 y n U y z P R T d r 7 D F B 0 b P Q o S o k 0 G k T J z z Y a B w O A k z Y S l y g T B I W y V 5 5 t H Q N N 4 M j 1 1 g O F H K X + r 0 Z p m y n s G F t x G C W f Z y s S 9 p A A A A A 4 7 2 s A + 1 k v + n f f Q 8 q f V s W W a Y q e i z y R g R r V U T U M M g t j R L I j M P W e w l J 1 0 q l n k M v p r 4 h 0 B / c O C i 2 g C r n 4 P b t J O 7 2 B Q = = < / D a t a M a s h u p > 
</file>

<file path=customXml/itemProps1.xml><?xml version="1.0" encoding="utf-8"?>
<ds:datastoreItem xmlns:ds="http://schemas.openxmlformats.org/officeDocument/2006/customXml" ds:itemID="{58B89E14-A476-44C6-92E1-69C91131976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30</vt:i4>
      </vt:variant>
    </vt:vector>
  </HeadingPairs>
  <TitlesOfParts>
    <vt:vector size="30" baseType="lpstr">
      <vt:lpstr>Haby_Sall</vt:lpstr>
      <vt:lpstr>Orane_Vivant</vt:lpstr>
      <vt:lpstr>Léa_Gary</vt:lpstr>
      <vt:lpstr>Laura-Lyne_Lombindo</vt:lpstr>
      <vt:lpstr>Ingrid_Ngongang</vt:lpstr>
      <vt:lpstr>Phellys_Kibuey</vt:lpstr>
      <vt:lpstr>Kimberley_Rutil</vt:lpstr>
      <vt:lpstr>Syriane_Adon</vt:lpstr>
      <vt:lpstr>Naémi_Ardouin</vt:lpstr>
      <vt:lpstr>Mathilde_Mélique</vt:lpstr>
      <vt:lpstr>Maelys_Kouaya</vt:lpstr>
      <vt:lpstr>Maelle_Chalmandrier</vt:lpstr>
      <vt:lpstr>Léa Ballureau</vt:lpstr>
      <vt:lpstr>Julie_Sias</vt:lpstr>
      <vt:lpstr>Inès_Godet</vt:lpstr>
      <vt:lpstr>Hana_Kvasova</vt:lpstr>
      <vt:lpstr>Camille_Tourigny</vt:lpstr>
      <vt:lpstr>Alix_Tignon</vt:lpstr>
      <vt:lpstr>Justicia_Toubissa</vt:lpstr>
      <vt:lpstr>Données brutes</vt:lpstr>
      <vt:lpstr>Stats générales</vt:lpstr>
      <vt:lpstr>Image Stats générales</vt:lpstr>
      <vt:lpstr>Matchs joués</vt:lpstr>
      <vt:lpstr>Temps de jeu</vt:lpstr>
      <vt:lpstr>Efficacité par enclenchement</vt:lpstr>
      <vt:lpstr>Analyse GB</vt:lpstr>
      <vt:lpstr>Duel tireur GB joueuse</vt:lpstr>
      <vt:lpstr>L'activité défensive</vt:lpstr>
      <vt:lpstr>Les pertes de balle</vt:lpstr>
      <vt:lpstr>Les passes D la création et 7m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Julien Vasseur</dc:creator>
  <cp:lastModifiedBy>Julien Vasseur</cp:lastModifiedBy>
  <cp:lastPrinted>2025-06-26T11:38:25Z</cp:lastPrinted>
  <dcterms:created xsi:type="dcterms:W3CDTF">2015-06-05T18:19:34Z</dcterms:created>
  <dcterms:modified xsi:type="dcterms:W3CDTF">2025-08-26T06:29:13Z</dcterms:modified>
</cp:coreProperties>
</file>